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772" windowHeight="2580" tabRatio="744" firstSheet="4" activeTab="4"/>
  </bookViews>
  <sheets>
    <sheet name="2015-2022 06.05.20" sheetId="44" r:id="rId1"/>
    <sheet name="2015-2022 02.06.20 " sheetId="45" r:id="rId2"/>
    <sheet name="2015-2022 05.08.20" sheetId="46" r:id="rId3"/>
    <sheet name="2015-2022 15.10.20" sheetId="47" r:id="rId4"/>
    <sheet name="2015-2026 25.02.21 " sheetId="49" r:id="rId5"/>
  </sheets>
  <definedNames>
    <definedName name="_xlnm.Print_Titles" localSheetId="1">'2015-2022 02.06.20 '!$6:$7</definedName>
    <definedName name="_xlnm.Print_Titles" localSheetId="2">'2015-2022 05.08.20'!$6:$7</definedName>
    <definedName name="_xlnm.Print_Titles" localSheetId="0">'2015-2022 06.05.20'!$6:$7</definedName>
    <definedName name="_xlnm.Print_Titles" localSheetId="3">'2015-2022 15.10.20'!$6:$7</definedName>
    <definedName name="_xlnm.Print_Titles" localSheetId="4">'2015-2026 25.02.21 '!$6:$7</definedName>
    <definedName name="_xlnm.Print_Area" localSheetId="1">'2015-2022 02.06.20 '!$A$1:$AH$172</definedName>
    <definedName name="_xlnm.Print_Area" localSheetId="2">'2015-2022 05.08.20'!$A$1:$AH$172</definedName>
    <definedName name="_xlnm.Print_Area" localSheetId="0">'2015-2022 06.05.20'!$A$1:$AH$172</definedName>
    <definedName name="_xlnm.Print_Area" localSheetId="3">'2015-2022 15.10.20'!$A$1:$AH$172</definedName>
    <definedName name="_xlnm.Print_Area" localSheetId="4">'2015-2026 25.02.21 '!$A$1:$AH$177</definedName>
  </definedNames>
  <calcPr calcId="145621"/>
</workbook>
</file>

<file path=xl/calcChain.xml><?xml version="1.0" encoding="utf-8"?>
<calcChain xmlns="http://schemas.openxmlformats.org/spreadsheetml/2006/main">
  <c r="F8" i="49" l="1"/>
  <c r="Q42" i="49"/>
  <c r="U175" i="49"/>
  <c r="I106" i="49"/>
  <c r="V108" i="49"/>
  <c r="V107" i="49"/>
  <c r="U106" i="49"/>
  <c r="T106" i="49"/>
  <c r="V37" i="49"/>
  <c r="V36" i="49" s="1"/>
  <c r="U36" i="49"/>
  <c r="V35" i="49"/>
  <c r="U35" i="49"/>
  <c r="T35" i="49"/>
  <c r="AH27" i="49"/>
  <c r="Z28" i="49"/>
  <c r="AB28" i="49" s="1"/>
  <c r="AB27" i="49"/>
  <c r="AA26" i="49"/>
  <c r="Z26" i="49"/>
  <c r="AH28" i="49"/>
  <c r="AH26" i="49" s="1"/>
  <c r="AG26" i="49"/>
  <c r="AF26" i="49"/>
  <c r="AG24" i="49"/>
  <c r="AF24" i="49"/>
  <c r="AE28" i="49"/>
  <c r="AE26" i="49"/>
  <c r="AD26" i="49"/>
  <c r="AC26" i="49"/>
  <c r="AE24" i="49"/>
  <c r="AD24" i="49"/>
  <c r="AC24" i="49"/>
  <c r="AA24" i="49"/>
  <c r="Z24" i="49"/>
  <c r="Q107" i="49"/>
  <c r="Q103" i="49"/>
  <c r="Q63" i="49"/>
  <c r="Q30" i="49"/>
  <c r="Q32" i="49"/>
  <c r="Q31" i="49" s="1"/>
  <c r="Q33" i="49"/>
  <c r="N107" i="49"/>
  <c r="P107" i="49" s="1"/>
  <c r="N105" i="49"/>
  <c r="N104" i="49"/>
  <c r="N102" i="49"/>
  <c r="N101" i="49"/>
  <c r="N99" i="49"/>
  <c r="N98" i="49"/>
  <c r="N32" i="49"/>
  <c r="AH175" i="49"/>
  <c r="AE175" i="49"/>
  <c r="AB175" i="49"/>
  <c r="Y175" i="49"/>
  <c r="T175" i="49"/>
  <c r="Q175" i="49"/>
  <c r="S175" i="49" s="1"/>
  <c r="P175" i="49"/>
  <c r="AH174" i="49"/>
  <c r="AE174" i="49"/>
  <c r="AB174" i="49"/>
  <c r="Y174" i="49"/>
  <c r="Q174" i="49"/>
  <c r="S174" i="49" s="1"/>
  <c r="S10" i="49" s="1"/>
  <c r="P174" i="49"/>
  <c r="AB173" i="49"/>
  <c r="W173" i="49"/>
  <c r="Y173" i="49" s="1"/>
  <c r="V173" i="49"/>
  <c r="Y172" i="49"/>
  <c r="V172" i="49"/>
  <c r="Q172" i="49"/>
  <c r="S172" i="49" s="1"/>
  <c r="AB171" i="49"/>
  <c r="W171" i="49"/>
  <c r="Y171" i="49" s="1"/>
  <c r="V171" i="49"/>
  <c r="V169" i="49" s="1"/>
  <c r="U171" i="49"/>
  <c r="T171" i="49"/>
  <c r="T169" i="49" s="1"/>
  <c r="AB170" i="49"/>
  <c r="AB169" i="49" s="1"/>
  <c r="Y170" i="49"/>
  <c r="R170" i="49"/>
  <c r="Q170" i="49"/>
  <c r="AA169" i="49"/>
  <c r="Z169" i="49"/>
  <c r="X169" i="49"/>
  <c r="W169" i="49"/>
  <c r="U169" i="49"/>
  <c r="R169" i="49"/>
  <c r="Q169" i="49"/>
  <c r="AB168" i="49"/>
  <c r="Y168" i="49"/>
  <c r="V168" i="49"/>
  <c r="Y167" i="49"/>
  <c r="V167" i="49"/>
  <c r="Q167" i="49"/>
  <c r="S167" i="49" s="1"/>
  <c r="S165" i="49" s="1"/>
  <c r="S164" i="49" s="1"/>
  <c r="AB166" i="49"/>
  <c r="W166" i="49"/>
  <c r="Y166" i="49" s="1"/>
  <c r="U166" i="49"/>
  <c r="V166" i="49" s="1"/>
  <c r="V164" i="49" s="1"/>
  <c r="T166" i="49"/>
  <c r="AB165" i="49"/>
  <c r="Y165" i="49"/>
  <c r="Y164" i="49" s="1"/>
  <c r="R165" i="49"/>
  <c r="R164" i="49" s="1"/>
  <c r="AB164" i="49"/>
  <c r="AA164" i="49"/>
  <c r="Z164" i="49"/>
  <c r="X164" i="49"/>
  <c r="W164" i="49"/>
  <c r="T164" i="49"/>
  <c r="Q164" i="49"/>
  <c r="Y163" i="49"/>
  <c r="W163" i="49"/>
  <c r="T163" i="49"/>
  <c r="V163" i="49" s="1"/>
  <c r="V162" i="49"/>
  <c r="S162" i="49"/>
  <c r="S161" i="49" s="1"/>
  <c r="Q162" i="49"/>
  <c r="Y161" i="49"/>
  <c r="Y159" i="49" s="1"/>
  <c r="V161" i="49"/>
  <c r="T161" i="49"/>
  <c r="Y160" i="49"/>
  <c r="V160" i="49"/>
  <c r="V159" i="49" s="1"/>
  <c r="S160" i="49"/>
  <c r="X159" i="49"/>
  <c r="W159" i="49"/>
  <c r="U159" i="49"/>
  <c r="T159" i="49"/>
  <c r="R159" i="49"/>
  <c r="Q159" i="49"/>
  <c r="Y158" i="49"/>
  <c r="V158" i="49"/>
  <c r="T158" i="49"/>
  <c r="V157" i="49"/>
  <c r="S157" i="49"/>
  <c r="S156" i="49" s="1"/>
  <c r="S154" i="49" s="1"/>
  <c r="Q157" i="49"/>
  <c r="Y156" i="49"/>
  <c r="T156" i="49"/>
  <c r="V156" i="49" s="1"/>
  <c r="V154" i="49" s="1"/>
  <c r="Y155" i="49"/>
  <c r="Y154" i="49" s="1"/>
  <c r="V155" i="49"/>
  <c r="X154" i="49"/>
  <c r="W154" i="49"/>
  <c r="U154" i="49"/>
  <c r="R154" i="49"/>
  <c r="Q154" i="49"/>
  <c r="AB153" i="49"/>
  <c r="W153" i="49"/>
  <c r="Y153" i="49" s="1"/>
  <c r="V153" i="49"/>
  <c r="AB152" i="49"/>
  <c r="Y152" i="49"/>
  <c r="V152" i="49"/>
  <c r="Q152" i="49"/>
  <c r="S152" i="49" s="1"/>
  <c r="S150" i="49" s="1"/>
  <c r="S149" i="49" s="1"/>
  <c r="AB151" i="49"/>
  <c r="Y151" i="49"/>
  <c r="Y149" i="49" s="1"/>
  <c r="W151" i="49"/>
  <c r="W149" i="49" s="1"/>
  <c r="U151" i="49"/>
  <c r="T151" i="49"/>
  <c r="V151" i="49" s="1"/>
  <c r="AB150" i="49"/>
  <c r="Y150" i="49"/>
  <c r="U150" i="49"/>
  <c r="V150" i="49" s="1"/>
  <c r="R150" i="49"/>
  <c r="AB149" i="49"/>
  <c r="AA149" i="49"/>
  <c r="Z149" i="49"/>
  <c r="X149" i="49"/>
  <c r="U149" i="49"/>
  <c r="R149" i="49"/>
  <c r="AH148" i="49"/>
  <c r="AE148" i="49"/>
  <c r="Z147" i="49"/>
  <c r="AB147" i="49" s="1"/>
  <c r="AB146" i="49" s="1"/>
  <c r="AB144" i="49" s="1"/>
  <c r="Y147" i="49"/>
  <c r="AA146" i="49"/>
  <c r="AA144" i="49" s="1"/>
  <c r="Z146" i="49"/>
  <c r="Z144" i="49" s="1"/>
  <c r="Y146" i="49"/>
  <c r="X146" i="49"/>
  <c r="W146" i="49"/>
  <c r="W144" i="49" s="1"/>
  <c r="AH145" i="49"/>
  <c r="AH144" i="49" s="1"/>
  <c r="AG145" i="49"/>
  <c r="AG144" i="49" s="1"/>
  <c r="AF145" i="49"/>
  <c r="AE145" i="49"/>
  <c r="AE144" i="49" s="1"/>
  <c r="AD145" i="49"/>
  <c r="AD144" i="49" s="1"/>
  <c r="AC145" i="49"/>
  <c r="AF144" i="49"/>
  <c r="Y144" i="49"/>
  <c r="X144" i="49"/>
  <c r="AH143" i="49"/>
  <c r="AH140" i="49" s="1"/>
  <c r="AH139" i="49" s="1"/>
  <c r="AE143" i="49"/>
  <c r="AE140" i="49" s="1"/>
  <c r="AE139" i="49" s="1"/>
  <c r="AB142" i="49"/>
  <c r="Z142" i="49"/>
  <c r="Y142" i="49"/>
  <c r="AB141" i="49"/>
  <c r="AB139" i="49" s="1"/>
  <c r="AA141" i="49"/>
  <c r="AA139" i="49" s="1"/>
  <c r="Z141" i="49"/>
  <c r="Y141" i="49"/>
  <c r="Y139" i="49" s="1"/>
  <c r="X141" i="49"/>
  <c r="X139" i="49" s="1"/>
  <c r="W141" i="49"/>
  <c r="AG140" i="49"/>
  <c r="AG139" i="49" s="1"/>
  <c r="AF140" i="49"/>
  <c r="AF139" i="49" s="1"/>
  <c r="AD140" i="49"/>
  <c r="AD139" i="49" s="1"/>
  <c r="AC140" i="49"/>
  <c r="AC139" i="49" s="1"/>
  <c r="Z139" i="49"/>
  <c r="W139" i="49"/>
  <c r="AH138" i="49"/>
  <c r="AH135" i="49" s="1"/>
  <c r="AH134" i="49" s="1"/>
  <c r="AF138" i="49"/>
  <c r="AE138" i="49"/>
  <c r="AE135" i="49" s="1"/>
  <c r="AE134" i="49" s="1"/>
  <c r="AB138" i="49"/>
  <c r="AB135" i="49" s="1"/>
  <c r="Z138" i="49"/>
  <c r="Z135" i="49" s="1"/>
  <c r="AC137" i="49"/>
  <c r="AE137" i="49" s="1"/>
  <c r="AE136" i="49" s="1"/>
  <c r="AB137" i="49"/>
  <c r="AB136" i="49" s="1"/>
  <c r="AD136" i="49"/>
  <c r="AC136" i="49"/>
  <c r="AA136" i="49"/>
  <c r="Z136" i="49"/>
  <c r="AG135" i="49"/>
  <c r="AG134" i="49" s="1"/>
  <c r="AF135" i="49"/>
  <c r="AF134" i="49" s="1"/>
  <c r="AD135" i="49"/>
  <c r="AD134" i="49" s="1"/>
  <c r="AC135" i="49"/>
  <c r="AC134" i="49" s="1"/>
  <c r="AA135" i="49"/>
  <c r="AA134" i="49"/>
  <c r="W134" i="49"/>
  <c r="Y134" i="49" s="1"/>
  <c r="S134" i="49"/>
  <c r="P134" i="49"/>
  <c r="AF133" i="49"/>
  <c r="AH133" i="49" s="1"/>
  <c r="AH130" i="49" s="1"/>
  <c r="AH129" i="49" s="1"/>
  <c r="AE133" i="49"/>
  <c r="AE130" i="49" s="1"/>
  <c r="AE129" i="49" s="1"/>
  <c r="AC133" i="49"/>
  <c r="Z133" i="49"/>
  <c r="AB133" i="49" s="1"/>
  <c r="AB130" i="49" s="1"/>
  <c r="Y133" i="49"/>
  <c r="Y130" i="49" s="1"/>
  <c r="Y129" i="49" s="1"/>
  <c r="W133" i="49"/>
  <c r="W130" i="49" s="1"/>
  <c r="Z132" i="49"/>
  <c r="AB132" i="49" s="1"/>
  <c r="AB131" i="49" s="1"/>
  <c r="Y132" i="49"/>
  <c r="AA131" i="49"/>
  <c r="Z131" i="49"/>
  <c r="Y131" i="49"/>
  <c r="X131" i="49"/>
  <c r="W131" i="49"/>
  <c r="AG130" i="49"/>
  <c r="AG129" i="49" s="1"/>
  <c r="AF130" i="49"/>
  <c r="AF129" i="49" s="1"/>
  <c r="AD130" i="49"/>
  <c r="AC130" i="49"/>
  <c r="AC129" i="49" s="1"/>
  <c r="AA130" i="49"/>
  <c r="AA129" i="49" s="1"/>
  <c r="Z130" i="49"/>
  <c r="Z129" i="49" s="1"/>
  <c r="X130" i="49"/>
  <c r="X129" i="49" s="1"/>
  <c r="AD129" i="49"/>
  <c r="S129" i="49"/>
  <c r="P129" i="49"/>
  <c r="S128" i="49"/>
  <c r="S127" i="49"/>
  <c r="R126" i="49"/>
  <c r="R124" i="49" s="1"/>
  <c r="S123" i="49"/>
  <c r="S122" i="49"/>
  <c r="R121" i="49"/>
  <c r="R119" i="49" s="1"/>
  <c r="Q121" i="49"/>
  <c r="Q119" i="49" s="1"/>
  <c r="S118" i="49"/>
  <c r="S117" i="49"/>
  <c r="R116" i="49"/>
  <c r="R114" i="49" s="1"/>
  <c r="Q116" i="49"/>
  <c r="Q114" i="49" s="1"/>
  <c r="S113" i="49"/>
  <c r="S112" i="49"/>
  <c r="S111" i="49" s="1"/>
  <c r="S109" i="49" s="1"/>
  <c r="R111" i="49"/>
  <c r="R109" i="49" s="1"/>
  <c r="Q111" i="49"/>
  <c r="Q109" i="49" s="1"/>
  <c r="S108" i="49"/>
  <c r="P108" i="49"/>
  <c r="N108" i="49"/>
  <c r="S107" i="49"/>
  <c r="R106" i="49"/>
  <c r="Q106" i="49"/>
  <c r="O106" i="49"/>
  <c r="S105" i="49"/>
  <c r="P105" i="49"/>
  <c r="S104" i="49"/>
  <c r="P104" i="49"/>
  <c r="R103" i="49"/>
  <c r="I103" i="49"/>
  <c r="S102" i="49"/>
  <c r="P102" i="49"/>
  <c r="S101" i="49"/>
  <c r="P101" i="49"/>
  <c r="O100" i="49"/>
  <c r="R100" i="49"/>
  <c r="N100" i="49"/>
  <c r="I100" i="49"/>
  <c r="S99" i="49"/>
  <c r="P99" i="49"/>
  <c r="S98" i="49"/>
  <c r="P98" i="49"/>
  <c r="R97" i="49"/>
  <c r="S97" i="49" s="1"/>
  <c r="O97" i="49"/>
  <c r="N97" i="49"/>
  <c r="I97" i="49"/>
  <c r="T96" i="49"/>
  <c r="V96" i="49" s="1"/>
  <c r="V94" i="49" s="1"/>
  <c r="S96" i="49"/>
  <c r="P96" i="49"/>
  <c r="S95" i="49"/>
  <c r="U94" i="49"/>
  <c r="Q94" i="49"/>
  <c r="S94" i="49" s="1"/>
  <c r="P94" i="49"/>
  <c r="O94" i="49"/>
  <c r="N94" i="49"/>
  <c r="M94" i="49"/>
  <c r="AH93" i="49"/>
  <c r="AH90" i="49" s="1"/>
  <c r="AH89" i="49" s="1"/>
  <c r="AF93" i="49"/>
  <c r="AE93" i="49"/>
  <c r="AB93" i="49"/>
  <c r="Y93" i="49"/>
  <c r="S93" i="49"/>
  <c r="P93" i="49"/>
  <c r="Y92" i="49"/>
  <c r="Y91" i="49" s="1"/>
  <c r="S92" i="49"/>
  <c r="X91" i="49"/>
  <c r="W91" i="49"/>
  <c r="S91" i="49"/>
  <c r="AG90" i="49"/>
  <c r="AG89" i="49" s="1"/>
  <c r="AF90" i="49"/>
  <c r="AF89" i="49" s="1"/>
  <c r="AE90" i="49"/>
  <c r="AD90" i="49"/>
  <c r="AC90" i="49"/>
  <c r="AC89" i="49" s="1"/>
  <c r="AB90" i="49"/>
  <c r="AB89" i="49" s="1"/>
  <c r="AA90" i="49"/>
  <c r="AA89" i="49" s="1"/>
  <c r="Z90" i="49"/>
  <c r="Y90" i="49"/>
  <c r="Y89" i="49" s="1"/>
  <c r="X90" i="49"/>
  <c r="X89" i="49" s="1"/>
  <c r="W90" i="49"/>
  <c r="S90" i="49"/>
  <c r="P90" i="49"/>
  <c r="AE89" i="49"/>
  <c r="AD89" i="49"/>
  <c r="Z89" i="49"/>
  <c r="W89" i="49"/>
  <c r="T89" i="49"/>
  <c r="Q89" i="49"/>
  <c r="S89" i="49" s="1"/>
  <c r="P89" i="49"/>
  <c r="O89" i="49"/>
  <c r="N89" i="49"/>
  <c r="M89" i="49"/>
  <c r="I89" i="49"/>
  <c r="AI89" i="49" s="1"/>
  <c r="AH88" i="49"/>
  <c r="AF88" i="49"/>
  <c r="AC88" i="49"/>
  <c r="AE88" i="49" s="1"/>
  <c r="AE85" i="49" s="1"/>
  <c r="S88" i="49"/>
  <c r="P88" i="49"/>
  <c r="AE87" i="49"/>
  <c r="Z87" i="49"/>
  <c r="Z86" i="49" s="1"/>
  <c r="Z84" i="49" s="1"/>
  <c r="W87" i="49"/>
  <c r="Y87" i="49" s="1"/>
  <c r="Y86" i="49" s="1"/>
  <c r="Y84" i="49" s="1"/>
  <c r="S87" i="49"/>
  <c r="S86" i="49" s="1"/>
  <c r="Q87" i="49"/>
  <c r="N87" i="49"/>
  <c r="P87" i="49" s="1"/>
  <c r="P86" i="49" s="1"/>
  <c r="P84" i="49" s="1"/>
  <c r="AE86" i="49"/>
  <c r="AD86" i="49"/>
  <c r="AC86" i="49"/>
  <c r="AA86" i="49"/>
  <c r="AA84" i="49" s="1"/>
  <c r="X86" i="49"/>
  <c r="X84" i="49" s="1"/>
  <c r="R86" i="49"/>
  <c r="R84" i="49" s="1"/>
  <c r="S84" i="49" s="1"/>
  <c r="Q86" i="49"/>
  <c r="O86" i="49"/>
  <c r="O84" i="49" s="1"/>
  <c r="M86" i="49"/>
  <c r="AH85" i="49"/>
  <c r="AH84" i="49" s="1"/>
  <c r="AG85" i="49"/>
  <c r="AG84" i="49" s="1"/>
  <c r="AF85" i="49"/>
  <c r="AF84" i="49" s="1"/>
  <c r="AD85" i="49"/>
  <c r="S85" i="49"/>
  <c r="AD84" i="49"/>
  <c r="V84" i="49"/>
  <c r="U84" i="49"/>
  <c r="T84" i="49"/>
  <c r="Q84" i="49"/>
  <c r="M84" i="49"/>
  <c r="AF83" i="49"/>
  <c r="AH83" i="49" s="1"/>
  <c r="AH80" i="49" s="1"/>
  <c r="AH79" i="49" s="1"/>
  <c r="AE83" i="49"/>
  <c r="AC83" i="49"/>
  <c r="AC80" i="49" s="1"/>
  <c r="S83" i="49"/>
  <c r="P83" i="49"/>
  <c r="AE82" i="49"/>
  <c r="AE81" i="49" s="1"/>
  <c r="Z82" i="49"/>
  <c r="Z81" i="49" s="1"/>
  <c r="Z79" i="49" s="1"/>
  <c r="W82" i="49"/>
  <c r="Y82" i="49" s="1"/>
  <c r="Y81" i="49" s="1"/>
  <c r="Y79" i="49" s="1"/>
  <c r="S82" i="49"/>
  <c r="Q82" i="49"/>
  <c r="N82" i="49"/>
  <c r="P82" i="49" s="1"/>
  <c r="AF81" i="49"/>
  <c r="AD81" i="49"/>
  <c r="AC81" i="49"/>
  <c r="AA81" i="49"/>
  <c r="AA79" i="49" s="1"/>
  <c r="X81" i="49"/>
  <c r="S81" i="49"/>
  <c r="R81" i="49"/>
  <c r="R79" i="49" s="1"/>
  <c r="Q81" i="49"/>
  <c r="O81" i="49"/>
  <c r="N81" i="49"/>
  <c r="P81" i="49" s="1"/>
  <c r="P79" i="49" s="1"/>
  <c r="AG80" i="49"/>
  <c r="AG79" i="49" s="1"/>
  <c r="AF80" i="49"/>
  <c r="AE80" i="49"/>
  <c r="AD80" i="49"/>
  <c r="AD79" i="49" s="1"/>
  <c r="S80" i="49"/>
  <c r="S79" i="49" s="1"/>
  <c r="P80" i="49"/>
  <c r="AF79" i="49"/>
  <c r="X79" i="49"/>
  <c r="V79" i="49"/>
  <c r="U79" i="49"/>
  <c r="T79" i="49"/>
  <c r="Q79" i="49"/>
  <c r="O79" i="49"/>
  <c r="M79" i="49"/>
  <c r="I79" i="49"/>
  <c r="AB78" i="49"/>
  <c r="AB75" i="49" s="1"/>
  <c r="AB74" i="49" s="1"/>
  <c r="Z78" i="49"/>
  <c r="Y78" i="49"/>
  <c r="S78" i="49"/>
  <c r="P78" i="49"/>
  <c r="T77" i="49"/>
  <c r="V77" i="49" s="1"/>
  <c r="S77" i="49"/>
  <c r="Q77" i="49"/>
  <c r="N77" i="49"/>
  <c r="P77" i="49" s="1"/>
  <c r="P76" i="49" s="1"/>
  <c r="U76" i="49"/>
  <c r="R76" i="49"/>
  <c r="S76" i="49" s="1"/>
  <c r="Q76" i="49"/>
  <c r="O76" i="49"/>
  <c r="AA75" i="49"/>
  <c r="Z75" i="49"/>
  <c r="Z74" i="49" s="1"/>
  <c r="Y75" i="49"/>
  <c r="Y74" i="49" s="1"/>
  <c r="X75" i="49"/>
  <c r="X74" i="49" s="1"/>
  <c r="W75" i="49"/>
  <c r="S75" i="49"/>
  <c r="P75" i="49"/>
  <c r="AA74" i="49"/>
  <c r="W74" i="49"/>
  <c r="U74" i="49"/>
  <c r="R74" i="49"/>
  <c r="S74" i="49" s="1"/>
  <c r="Q74" i="49"/>
  <c r="O74" i="49"/>
  <c r="M74" i="49"/>
  <c r="AH73" i="49"/>
  <c r="AC73" i="49"/>
  <c r="AE73" i="49" s="1"/>
  <c r="AE70" i="49" s="1"/>
  <c r="AE69" i="49" s="1"/>
  <c r="AB73" i="49"/>
  <c r="AB70" i="49" s="1"/>
  <c r="AB69" i="49" s="1"/>
  <c r="Z73" i="49"/>
  <c r="Z70" i="49" s="1"/>
  <c r="Z69" i="49" s="1"/>
  <c r="AB72" i="49"/>
  <c r="AB71" i="49" s="1"/>
  <c r="Y72" i="49"/>
  <c r="Y71" i="49" s="1"/>
  <c r="Y69" i="49" s="1"/>
  <c r="AI69" i="49" s="1"/>
  <c r="W72" i="49"/>
  <c r="AA71" i="49"/>
  <c r="Z71" i="49"/>
  <c r="X71" i="49"/>
  <c r="X69" i="49" s="1"/>
  <c r="W71" i="49"/>
  <c r="AH70" i="49"/>
  <c r="AH69" i="49" s="1"/>
  <c r="AG70" i="49"/>
  <c r="AF70" i="49"/>
  <c r="AF69" i="49" s="1"/>
  <c r="AD70" i="49"/>
  <c r="AD69" i="49" s="1"/>
  <c r="AA70" i="49"/>
  <c r="AG69" i="49"/>
  <c r="AA69" i="49"/>
  <c r="W69" i="49"/>
  <c r="AH68" i="49"/>
  <c r="AC68" i="49"/>
  <c r="AE68" i="49" s="1"/>
  <c r="AE65" i="49" s="1"/>
  <c r="AE64" i="49" s="1"/>
  <c r="Z68" i="49"/>
  <c r="Z65" i="49" s="1"/>
  <c r="Z64" i="49" s="1"/>
  <c r="AB67" i="49"/>
  <c r="Y67" i="49"/>
  <c r="Y66" i="49" s="1"/>
  <c r="Y64" i="49" s="1"/>
  <c r="W67" i="49"/>
  <c r="S67" i="49"/>
  <c r="S66" i="49" s="1"/>
  <c r="S64" i="49" s="1"/>
  <c r="AB66" i="49"/>
  <c r="AA66" i="49"/>
  <c r="Z66" i="49"/>
  <c r="X66" i="49"/>
  <c r="X64" i="49" s="1"/>
  <c r="W66" i="49"/>
  <c r="W64" i="49" s="1"/>
  <c r="R66" i="49"/>
  <c r="Q66" i="49"/>
  <c r="Q64" i="49" s="1"/>
  <c r="AH65" i="49"/>
  <c r="AH64" i="49" s="1"/>
  <c r="AG65" i="49"/>
  <c r="AG64" i="49" s="1"/>
  <c r="AF65" i="49"/>
  <c r="AD65" i="49"/>
  <c r="AD64" i="49" s="1"/>
  <c r="AA65" i="49"/>
  <c r="AF64" i="49"/>
  <c r="R64" i="49"/>
  <c r="Y63" i="49"/>
  <c r="T63" i="49"/>
  <c r="V63" i="49" s="1"/>
  <c r="V60" i="49" s="1"/>
  <c r="V59" i="49" s="1"/>
  <c r="S63" i="49"/>
  <c r="Q60" i="49"/>
  <c r="S60" i="49" s="1"/>
  <c r="S62" i="49"/>
  <c r="S61" i="49" s="1"/>
  <c r="Q61" i="49"/>
  <c r="Q59" i="49" s="1"/>
  <c r="Y60" i="49"/>
  <c r="Y59" i="49" s="1"/>
  <c r="U60" i="49"/>
  <c r="U59" i="49" s="1"/>
  <c r="T60" i="49"/>
  <c r="AF59" i="49"/>
  <c r="AC59" i="49"/>
  <c r="Z59" i="49"/>
  <c r="X59" i="49"/>
  <c r="W59" i="49"/>
  <c r="T59" i="49"/>
  <c r="R59" i="49"/>
  <c r="AB58" i="49"/>
  <c r="AB55" i="49" s="1"/>
  <c r="Y58" i="49"/>
  <c r="AB57" i="49"/>
  <c r="AB56" i="49" s="1"/>
  <c r="V57" i="49"/>
  <c r="AA56" i="49"/>
  <c r="Z56" i="49"/>
  <c r="V56" i="49"/>
  <c r="S56" i="49"/>
  <c r="AA55" i="49"/>
  <c r="Z55" i="49"/>
  <c r="Z54" i="49" s="1"/>
  <c r="Y55" i="49"/>
  <c r="X55" i="49"/>
  <c r="X54" i="49" s="1"/>
  <c r="W55" i="49"/>
  <c r="S55" i="49"/>
  <c r="Y54" i="49"/>
  <c r="W54" i="49"/>
  <c r="V54" i="49"/>
  <c r="U54" i="49"/>
  <c r="T54" i="49"/>
  <c r="Q54" i="49"/>
  <c r="S54" i="49" s="1"/>
  <c r="I54" i="49"/>
  <c r="Z53" i="49"/>
  <c r="AB53" i="49" s="1"/>
  <c r="AB51" i="49" s="1"/>
  <c r="AB49" i="49" s="1"/>
  <c r="Y53" i="49"/>
  <c r="Y51" i="49" s="1"/>
  <c r="Y49" i="49" s="1"/>
  <c r="W53" i="49"/>
  <c r="T52" i="49"/>
  <c r="V52" i="49" s="1"/>
  <c r="V51" i="49" s="1"/>
  <c r="V49" i="49" s="1"/>
  <c r="AA51" i="49"/>
  <c r="AA49" i="49" s="1"/>
  <c r="X51" i="49"/>
  <c r="X49" i="49" s="1"/>
  <c r="W51" i="49"/>
  <c r="W49" i="49" s="1"/>
  <c r="U51" i="49"/>
  <c r="U49" i="49"/>
  <c r="AH48" i="49"/>
  <c r="AE48" i="49"/>
  <c r="S48" i="49"/>
  <c r="AB47" i="49"/>
  <c r="AB46" i="49" s="1"/>
  <c r="AB44" i="49" s="1"/>
  <c r="Y47" i="49"/>
  <c r="S47" i="49"/>
  <c r="AA46" i="49"/>
  <c r="AA44" i="49" s="1"/>
  <c r="Z46" i="49"/>
  <c r="Y46" i="49"/>
  <c r="X46" i="49"/>
  <c r="X44" i="49" s="1"/>
  <c r="W46" i="49"/>
  <c r="W44" i="49" s="1"/>
  <c r="S46" i="49"/>
  <c r="AH45" i="49"/>
  <c r="AG45" i="49"/>
  <c r="AF45" i="49"/>
  <c r="AF44" i="49" s="1"/>
  <c r="AE45" i="49"/>
  <c r="AD45" i="49"/>
  <c r="AC45" i="49"/>
  <c r="S45" i="49"/>
  <c r="AH44" i="49"/>
  <c r="AG44" i="49"/>
  <c r="AE44" i="49"/>
  <c r="AD44" i="49"/>
  <c r="AC44" i="49"/>
  <c r="Z44" i="49"/>
  <c r="Y44" i="49"/>
  <c r="T44" i="49"/>
  <c r="S44" i="49"/>
  <c r="Q44" i="49"/>
  <c r="I44" i="49"/>
  <c r="AE43" i="49"/>
  <c r="AB43" i="49"/>
  <c r="Z43" i="49"/>
  <c r="Y43" i="49"/>
  <c r="T43" i="49"/>
  <c r="V43" i="49" s="1"/>
  <c r="S43" i="49"/>
  <c r="V42" i="49"/>
  <c r="S42" i="49"/>
  <c r="N42" i="49"/>
  <c r="P42" i="49" s="1"/>
  <c r="P41" i="49" s="1"/>
  <c r="P39" i="49" s="1"/>
  <c r="U41" i="49"/>
  <c r="U39" i="49" s="1"/>
  <c r="T41" i="49"/>
  <c r="R41" i="49"/>
  <c r="R39" i="49" s="1"/>
  <c r="Q41" i="49"/>
  <c r="O41" i="49"/>
  <c r="M41" i="49"/>
  <c r="AE40" i="49"/>
  <c r="AE39" i="49" s="1"/>
  <c r="Z40" i="49"/>
  <c r="AB40" i="49" s="1"/>
  <c r="AB39" i="49" s="1"/>
  <c r="Y40" i="49"/>
  <c r="V40" i="49"/>
  <c r="T40" i="49"/>
  <c r="S40" i="49"/>
  <c r="P40" i="49"/>
  <c r="AD39" i="49"/>
  <c r="AC39" i="49"/>
  <c r="AA39" i="49"/>
  <c r="Y39" i="49"/>
  <c r="X39" i="49"/>
  <c r="W39" i="49"/>
  <c r="T39" i="49"/>
  <c r="O39" i="49"/>
  <c r="M39" i="49"/>
  <c r="AB38" i="49"/>
  <c r="Y38" i="49"/>
  <c r="W38" i="49"/>
  <c r="Q38" i="49"/>
  <c r="S38" i="49" s="1"/>
  <c r="S35" i="49" s="1"/>
  <c r="P38" i="49"/>
  <c r="Q37" i="49"/>
  <c r="S37" i="49" s="1"/>
  <c r="S36" i="49" s="1"/>
  <c r="N37" i="49"/>
  <c r="P37" i="49" s="1"/>
  <c r="P36" i="49" s="1"/>
  <c r="P34" i="49" s="1"/>
  <c r="R36" i="49"/>
  <c r="Q36" i="49"/>
  <c r="O36" i="49"/>
  <c r="N36" i="49"/>
  <c r="N34" i="49" s="1"/>
  <c r="AB35" i="49"/>
  <c r="Y35" i="49"/>
  <c r="Y34" i="49" s="1"/>
  <c r="W35" i="49"/>
  <c r="R35" i="49"/>
  <c r="P35" i="49"/>
  <c r="O35" i="49"/>
  <c r="N35" i="49"/>
  <c r="AB34" i="49"/>
  <c r="AA34" i="49"/>
  <c r="Z34" i="49"/>
  <c r="X34" i="49"/>
  <c r="W34" i="49"/>
  <c r="O34" i="49"/>
  <c r="AB33" i="49"/>
  <c r="W33" i="49"/>
  <c r="Y33" i="49" s="1"/>
  <c r="T33" i="49"/>
  <c r="V33" i="49" s="1"/>
  <c r="S33" i="49"/>
  <c r="N33" i="49"/>
  <c r="P33" i="49" s="1"/>
  <c r="S32" i="49"/>
  <c r="P32" i="49"/>
  <c r="Z31" i="49"/>
  <c r="AB31" i="49" s="1"/>
  <c r="W31" i="49"/>
  <c r="Y31" i="49" s="1"/>
  <c r="T31" i="49"/>
  <c r="V31" i="49" s="1"/>
  <c r="R31" i="49"/>
  <c r="R29" i="49" s="1"/>
  <c r="N31" i="49"/>
  <c r="P31" i="49" s="1"/>
  <c r="M31" i="49"/>
  <c r="Z30" i="49"/>
  <c r="AB30" i="49" s="1"/>
  <c r="W30" i="49"/>
  <c r="W29" i="49" s="1"/>
  <c r="T30" i="49"/>
  <c r="V30" i="49" s="1"/>
  <c r="S30" i="49"/>
  <c r="O30" i="49"/>
  <c r="N30" i="49"/>
  <c r="P30" i="49" s="1"/>
  <c r="AC29" i="49"/>
  <c r="AA29" i="49"/>
  <c r="X29" i="49"/>
  <c r="U29" i="49"/>
  <c r="O29" i="49"/>
  <c r="M29" i="49"/>
  <c r="Y28" i="49"/>
  <c r="V28" i="49"/>
  <c r="Q28" i="49"/>
  <c r="S28" i="49" s="1"/>
  <c r="N28" i="49"/>
  <c r="P28" i="49" s="1"/>
  <c r="V27" i="49"/>
  <c r="S27" i="49"/>
  <c r="P27" i="49"/>
  <c r="Y26" i="49"/>
  <c r="X26" i="49"/>
  <c r="W26" i="49"/>
  <c r="U26" i="49"/>
  <c r="T26" i="49"/>
  <c r="R26" i="49"/>
  <c r="R24" i="49" s="1"/>
  <c r="M26" i="49"/>
  <c r="Y24" i="49"/>
  <c r="X24" i="49"/>
  <c r="W24" i="49"/>
  <c r="U24" i="49"/>
  <c r="T24" i="49"/>
  <c r="O24" i="49"/>
  <c r="N24" i="49"/>
  <c r="M24" i="49"/>
  <c r="L24" i="49"/>
  <c r="I24" i="49"/>
  <c r="AF23" i="49"/>
  <c r="AH23" i="49" s="1"/>
  <c r="AH20" i="49" s="1"/>
  <c r="AC23" i="49"/>
  <c r="AE23" i="49" s="1"/>
  <c r="AE20" i="49" s="1"/>
  <c r="Z23" i="49"/>
  <c r="AB23" i="49" s="1"/>
  <c r="AB20" i="49" s="1"/>
  <c r="S23" i="49"/>
  <c r="P23" i="49"/>
  <c r="AB22" i="49"/>
  <c r="Y22" i="49"/>
  <c r="W22" i="49"/>
  <c r="S22" i="49"/>
  <c r="N22" i="49"/>
  <c r="P22" i="49" s="1"/>
  <c r="AB21" i="49"/>
  <c r="AA21" i="49"/>
  <c r="Z21" i="49"/>
  <c r="Y21" i="49"/>
  <c r="X21" i="49"/>
  <c r="W21" i="49"/>
  <c r="S21" i="49"/>
  <c r="O21" i="49"/>
  <c r="O19" i="49" s="1"/>
  <c r="AG20" i="49"/>
  <c r="AD20" i="49"/>
  <c r="AC20" i="49"/>
  <c r="AC19" i="49" s="1"/>
  <c r="AA20" i="49"/>
  <c r="AA19" i="49" s="1"/>
  <c r="S20" i="49"/>
  <c r="P20" i="49"/>
  <c r="AG19" i="49"/>
  <c r="AD19" i="49"/>
  <c r="Y19" i="49"/>
  <c r="X19" i="49"/>
  <c r="W19" i="49"/>
  <c r="T19" i="49"/>
  <c r="S19" i="49"/>
  <c r="R19" i="49"/>
  <c r="Q19" i="49"/>
  <c r="M19" i="49"/>
  <c r="L19" i="49"/>
  <c r="I19" i="49"/>
  <c r="Q18" i="49"/>
  <c r="S18" i="49" s="1"/>
  <c r="P18" i="49"/>
  <c r="S17" i="49"/>
  <c r="Q17" i="49"/>
  <c r="N17" i="49"/>
  <c r="P17" i="49" s="1"/>
  <c r="R16" i="49"/>
  <c r="Q16" i="49"/>
  <c r="O16" i="49"/>
  <c r="N16" i="49"/>
  <c r="N14" i="49" s="1"/>
  <c r="M16" i="49"/>
  <c r="Q15" i="49"/>
  <c r="S15" i="49" s="1"/>
  <c r="P15" i="49"/>
  <c r="V14" i="49"/>
  <c r="T14" i="49"/>
  <c r="R14" i="49"/>
  <c r="O14" i="49"/>
  <c r="M14" i="49"/>
  <c r="L14" i="49"/>
  <c r="AG12" i="49"/>
  <c r="AG8" i="49" s="1"/>
  <c r="AF12" i="49"/>
  <c r="AD12" i="49"/>
  <c r="X12" i="49"/>
  <c r="M12" i="49"/>
  <c r="AG11" i="49"/>
  <c r="AD11" i="49"/>
  <c r="AA11" i="49"/>
  <c r="X11" i="49"/>
  <c r="U11" i="49"/>
  <c r="T11" i="49"/>
  <c r="R11" i="49"/>
  <c r="O11" i="49"/>
  <c r="N11" i="49"/>
  <c r="M11" i="49"/>
  <c r="AH10" i="49"/>
  <c r="AG10" i="49"/>
  <c r="AF10" i="49"/>
  <c r="AE10" i="49"/>
  <c r="AD10" i="49"/>
  <c r="AD9" i="49" s="1"/>
  <c r="AC10" i="49"/>
  <c r="AB10" i="49"/>
  <c r="AA10" i="49"/>
  <c r="Z10" i="49"/>
  <c r="Y10" i="49"/>
  <c r="X10" i="49"/>
  <c r="W10" i="49"/>
  <c r="V10" i="49"/>
  <c r="U10" i="49"/>
  <c r="U9" i="49" s="1"/>
  <c r="T10" i="49"/>
  <c r="R10" i="49"/>
  <c r="Q10" i="49"/>
  <c r="P10" i="49"/>
  <c r="O10" i="49"/>
  <c r="N10" i="49"/>
  <c r="M10" i="49"/>
  <c r="M9" i="49" s="1"/>
  <c r="AG9" i="49"/>
  <c r="R9" i="49"/>
  <c r="O9" i="49"/>
  <c r="N9" i="49"/>
  <c r="M8" i="49"/>
  <c r="L8" i="49"/>
  <c r="K8" i="49"/>
  <c r="J8" i="49"/>
  <c r="I8" i="49"/>
  <c r="G8" i="49"/>
  <c r="E8" i="49"/>
  <c r="N16" i="47"/>
  <c r="V149" i="49" l="1"/>
  <c r="Y169" i="49"/>
  <c r="AC12" i="49"/>
  <c r="T9" i="49"/>
  <c r="AA9" i="49"/>
  <c r="Q14" i="49"/>
  <c r="P16" i="49"/>
  <c r="S16" i="49"/>
  <c r="Q26" i="49"/>
  <c r="Q24" i="49" s="1"/>
  <c r="T29" i="49"/>
  <c r="Z29" i="49"/>
  <c r="Y30" i="49"/>
  <c r="Z39" i="49"/>
  <c r="N41" i="49"/>
  <c r="N39" i="49" s="1"/>
  <c r="V41" i="49"/>
  <c r="T51" i="49"/>
  <c r="T49" i="49" s="1"/>
  <c r="AA54" i="49"/>
  <c r="AB68" i="49"/>
  <c r="AB65" i="49" s="1"/>
  <c r="AB64" i="49" s="1"/>
  <c r="AI64" i="49" s="1"/>
  <c r="AB82" i="49"/>
  <c r="AB81" i="49" s="1"/>
  <c r="AB79" i="49" s="1"/>
  <c r="AC79" i="49"/>
  <c r="W86" i="49"/>
  <c r="W84" i="49" s="1"/>
  <c r="AB87" i="49"/>
  <c r="AB86" i="49" s="1"/>
  <c r="AB84" i="49" s="1"/>
  <c r="AI84" i="49" s="1"/>
  <c r="AE84" i="49"/>
  <c r="Q150" i="49"/>
  <c r="Q149" i="49" s="1"/>
  <c r="AH24" i="49"/>
  <c r="V175" i="49"/>
  <c r="AD8" i="49"/>
  <c r="AB54" i="49"/>
  <c r="AI54" i="49" s="1"/>
  <c r="AA64" i="49"/>
  <c r="S116" i="49"/>
  <c r="S114" i="49" s="1"/>
  <c r="AI134" i="49"/>
  <c r="Z134" i="49"/>
  <c r="AC144" i="49"/>
  <c r="S159" i="49"/>
  <c r="AI159" i="49" s="1"/>
  <c r="AI164" i="49"/>
  <c r="AA12" i="49"/>
  <c r="U34" i="49"/>
  <c r="R34" i="49"/>
  <c r="L54" i="49"/>
  <c r="N76" i="49"/>
  <c r="N74" i="49" s="1"/>
  <c r="AB134" i="49"/>
  <c r="N103" i="49"/>
  <c r="V34" i="49"/>
  <c r="V106" i="49"/>
  <c r="S106" i="49"/>
  <c r="U12" i="49"/>
  <c r="U8" i="49" s="1"/>
  <c r="T36" i="49"/>
  <c r="T34" i="49" s="1"/>
  <c r="AH12" i="49"/>
  <c r="AB26" i="49"/>
  <c r="AB12" i="49" s="1"/>
  <c r="AB24" i="49"/>
  <c r="AE12" i="49"/>
  <c r="X8" i="49"/>
  <c r="V26" i="49"/>
  <c r="V24" i="49" s="1"/>
  <c r="S26" i="49"/>
  <c r="S24" i="49" s="1"/>
  <c r="S121" i="49"/>
  <c r="S119" i="49" s="1"/>
  <c r="X9" i="49"/>
  <c r="AA8" i="49"/>
  <c r="S126" i="49"/>
  <c r="S124" i="49" s="1"/>
  <c r="S103" i="49"/>
  <c r="S100" i="49"/>
  <c r="S59" i="49"/>
  <c r="AI59" i="49" s="1"/>
  <c r="S41" i="49"/>
  <c r="Q39" i="49"/>
  <c r="S39" i="49" s="1"/>
  <c r="R12" i="49"/>
  <c r="R8" i="49" s="1"/>
  <c r="P106" i="49"/>
  <c r="AI106" i="49" s="1"/>
  <c r="P97" i="49"/>
  <c r="AI97" i="49" s="1"/>
  <c r="AE19" i="49"/>
  <c r="AE11" i="49"/>
  <c r="S171" i="49"/>
  <c r="S170" i="49"/>
  <c r="S14" i="49"/>
  <c r="AB19" i="49"/>
  <c r="AB11" i="49"/>
  <c r="P100" i="49"/>
  <c r="Y12" i="49"/>
  <c r="S34" i="49"/>
  <c r="AI34" i="49" s="1"/>
  <c r="AI44" i="49"/>
  <c r="AE79" i="49"/>
  <c r="AI79" i="49" s="1"/>
  <c r="AI94" i="49"/>
  <c r="AB129" i="49"/>
  <c r="AI129" i="49" s="1"/>
  <c r="AI139" i="49"/>
  <c r="P14" i="49"/>
  <c r="P29" i="49"/>
  <c r="P11" i="49"/>
  <c r="V11" i="49"/>
  <c r="V29" i="49"/>
  <c r="S31" i="49"/>
  <c r="S29" i="49" s="1"/>
  <c r="Q29" i="49"/>
  <c r="Q12" i="49"/>
  <c r="AH19" i="49"/>
  <c r="AH11" i="49"/>
  <c r="W129" i="49"/>
  <c r="W11" i="49"/>
  <c r="AB29" i="49"/>
  <c r="V39" i="49"/>
  <c r="P74" i="49"/>
  <c r="AI144" i="49"/>
  <c r="AI149" i="49"/>
  <c r="AI154" i="49"/>
  <c r="AC65" i="49"/>
  <c r="AC70" i="49"/>
  <c r="AC69" i="49" s="1"/>
  <c r="AC85" i="49"/>
  <c r="AC84" i="49" s="1"/>
  <c r="O103" i="49"/>
  <c r="P103" i="49" s="1"/>
  <c r="AI103" i="49" s="1"/>
  <c r="T149" i="49"/>
  <c r="AF20" i="49"/>
  <c r="P26" i="49"/>
  <c r="P24" i="49" s="1"/>
  <c r="N29" i="49"/>
  <c r="Z51" i="49"/>
  <c r="T76" i="49"/>
  <c r="N79" i="49"/>
  <c r="W81" i="49"/>
  <c r="N86" i="49"/>
  <c r="N84" i="49" s="1"/>
  <c r="T94" i="49"/>
  <c r="T154" i="49"/>
  <c r="N21" i="49"/>
  <c r="Q35" i="49"/>
  <c r="U164" i="49"/>
  <c r="Z20" i="49"/>
  <c r="T60" i="47"/>
  <c r="T63" i="47"/>
  <c r="T170" i="47"/>
  <c r="Q170" i="47"/>
  <c r="Z164" i="47"/>
  <c r="AB168" i="47"/>
  <c r="W166" i="47"/>
  <c r="W164" i="47" s="1"/>
  <c r="W168" i="47"/>
  <c r="Y168" i="47" s="1"/>
  <c r="T166" i="47"/>
  <c r="T164" i="47" s="1"/>
  <c r="Q167" i="47"/>
  <c r="Q165" i="47" s="1"/>
  <c r="Q164" i="47" s="1"/>
  <c r="Z159" i="47"/>
  <c r="W159" i="47"/>
  <c r="W161" i="47"/>
  <c r="T161" i="47"/>
  <c r="T159" i="47" s="1"/>
  <c r="Q162" i="47"/>
  <c r="Q159" i="46"/>
  <c r="Q159" i="47"/>
  <c r="W154" i="47"/>
  <c r="W158" i="47"/>
  <c r="T156" i="47"/>
  <c r="T154" i="47" s="1"/>
  <c r="T158" i="47"/>
  <c r="V158" i="47" s="1"/>
  <c r="Q157" i="47"/>
  <c r="W149" i="47"/>
  <c r="T151" i="47"/>
  <c r="T149" i="47" s="1"/>
  <c r="T153" i="47"/>
  <c r="V153" i="47" s="1"/>
  <c r="Q152" i="47"/>
  <c r="Z144" i="47"/>
  <c r="W146" i="47"/>
  <c r="Y146" i="47" s="1"/>
  <c r="W148" i="47"/>
  <c r="T146" i="47"/>
  <c r="T144" i="47" s="1"/>
  <c r="Q147" i="47"/>
  <c r="Q145" i="47" s="1"/>
  <c r="Q144" i="47" s="1"/>
  <c r="Z142" i="47"/>
  <c r="AB142" i="47" s="1"/>
  <c r="AB141" i="47" s="1"/>
  <c r="AB139" i="47" s="1"/>
  <c r="Z137" i="47"/>
  <c r="AF133" i="47"/>
  <c r="AC132" i="47"/>
  <c r="AE132" i="47" s="1"/>
  <c r="Z133" i="47"/>
  <c r="Z131" i="47"/>
  <c r="AF128" i="47"/>
  <c r="AC128" i="47"/>
  <c r="Z128" i="47"/>
  <c r="AB128" i="47" s="1"/>
  <c r="AB125" i="47" s="1"/>
  <c r="Z127" i="47"/>
  <c r="W128" i="47"/>
  <c r="T96" i="47"/>
  <c r="AF88" i="47"/>
  <c r="AC88" i="47"/>
  <c r="Z87" i="47"/>
  <c r="W87" i="47"/>
  <c r="W86" i="47" s="1"/>
  <c r="W84" i="47" s="1"/>
  <c r="AF83" i="47"/>
  <c r="AC83" i="47"/>
  <c r="Z82" i="47"/>
  <c r="W82" i="47"/>
  <c r="T77" i="47"/>
  <c r="Q77" i="47"/>
  <c r="AC73" i="47"/>
  <c r="Z73" i="47"/>
  <c r="Z71" i="47"/>
  <c r="W72" i="47"/>
  <c r="AC68" i="47"/>
  <c r="Z68" i="47"/>
  <c r="Z66" i="47"/>
  <c r="W67" i="47"/>
  <c r="Z53" i="47"/>
  <c r="W53" i="47"/>
  <c r="T52" i="47"/>
  <c r="T40" i="47"/>
  <c r="T43" i="47"/>
  <c r="W35" i="47"/>
  <c r="W38" i="47"/>
  <c r="T35" i="47"/>
  <c r="Q37" i="47"/>
  <c r="Q38" i="47"/>
  <c r="N37" i="47"/>
  <c r="Q60" i="47"/>
  <c r="Q61" i="47"/>
  <c r="Q59" i="47" s="1"/>
  <c r="Z30" i="47"/>
  <c r="Z31" i="47"/>
  <c r="Z33" i="47"/>
  <c r="W30" i="47"/>
  <c r="W31" i="47"/>
  <c r="W33" i="47"/>
  <c r="T30" i="47"/>
  <c r="T31" i="47"/>
  <c r="T33" i="47"/>
  <c r="Q32" i="47"/>
  <c r="Q31" i="47" s="1"/>
  <c r="Q29" i="47" s="1"/>
  <c r="Q33" i="47"/>
  <c r="Q30" i="47"/>
  <c r="N33" i="47"/>
  <c r="Q28" i="47"/>
  <c r="AF23" i="47"/>
  <c r="AC23" i="47"/>
  <c r="Z23" i="47"/>
  <c r="W22" i="47"/>
  <c r="N17" i="47"/>
  <c r="Q17" i="47"/>
  <c r="R16" i="47"/>
  <c r="R14" i="47" s="1"/>
  <c r="Q18" i="47"/>
  <c r="S18" i="47" s="1"/>
  <c r="S17" i="47"/>
  <c r="AH170" i="47"/>
  <c r="AE170" i="47"/>
  <c r="AB170" i="47"/>
  <c r="Y170" i="47"/>
  <c r="V170" i="47"/>
  <c r="S170" i="47"/>
  <c r="P170" i="47"/>
  <c r="AH169" i="47"/>
  <c r="AE169" i="47"/>
  <c r="AB169" i="47"/>
  <c r="Y169" i="47"/>
  <c r="Q169" i="47"/>
  <c r="S169" i="47" s="1"/>
  <c r="S10" i="47" s="1"/>
  <c r="P169" i="47"/>
  <c r="V168" i="47"/>
  <c r="Y167" i="47"/>
  <c r="V167" i="47"/>
  <c r="S167" i="47"/>
  <c r="S166" i="47" s="1"/>
  <c r="AB166" i="47"/>
  <c r="Y166" i="47"/>
  <c r="U166" i="47"/>
  <c r="U164" i="47" s="1"/>
  <c r="AB165" i="47"/>
  <c r="Y165" i="47"/>
  <c r="R165" i="47"/>
  <c r="AA164" i="47"/>
  <c r="X164" i="47"/>
  <c r="R164" i="47"/>
  <c r="AB163" i="47"/>
  <c r="Y163" i="47"/>
  <c r="V163" i="47"/>
  <c r="Y162" i="47"/>
  <c r="V162" i="47"/>
  <c r="S162" i="47"/>
  <c r="S160" i="47" s="1"/>
  <c r="S159" i="47" s="1"/>
  <c r="AB161" i="47"/>
  <c r="Y161" i="47"/>
  <c r="U161" i="47"/>
  <c r="AB160" i="47"/>
  <c r="Y160" i="47"/>
  <c r="R160" i="47"/>
  <c r="R159" i="47" s="1"/>
  <c r="AA159" i="47"/>
  <c r="X159" i="47"/>
  <c r="Y158" i="47"/>
  <c r="V157" i="47"/>
  <c r="S157" i="47"/>
  <c r="S156" i="47" s="1"/>
  <c r="Y156" i="47"/>
  <c r="U154" i="47"/>
  <c r="Y155" i="47"/>
  <c r="Y154" i="47" s="1"/>
  <c r="V155" i="47"/>
  <c r="Q154" i="47"/>
  <c r="X154" i="47"/>
  <c r="R154" i="47"/>
  <c r="Y153" i="47"/>
  <c r="V152" i="47"/>
  <c r="S152" i="47"/>
  <c r="Y151" i="47"/>
  <c r="U149" i="47"/>
  <c r="S151" i="47"/>
  <c r="S149" i="47" s="1"/>
  <c r="Y150" i="47"/>
  <c r="V150" i="47"/>
  <c r="Q149" i="47"/>
  <c r="Y149" i="47"/>
  <c r="X149" i="47"/>
  <c r="R149" i="47"/>
  <c r="AB148" i="47"/>
  <c r="Y148" i="47"/>
  <c r="V148" i="47"/>
  <c r="AB147" i="47"/>
  <c r="Y147" i="47"/>
  <c r="V147" i="47"/>
  <c r="S147" i="47"/>
  <c r="S145" i="47" s="1"/>
  <c r="S144" i="47" s="1"/>
  <c r="AB146" i="47"/>
  <c r="X144" i="47"/>
  <c r="U146" i="47"/>
  <c r="V146" i="47" s="1"/>
  <c r="AB145" i="47"/>
  <c r="Y145" i="47"/>
  <c r="V145" i="47"/>
  <c r="U145" i="47"/>
  <c r="U144" i="47" s="1"/>
  <c r="R145" i="47"/>
  <c r="AA144" i="47"/>
  <c r="W144" i="47"/>
  <c r="R144" i="47"/>
  <c r="AH143" i="47"/>
  <c r="AH140" i="47" s="1"/>
  <c r="AH139" i="47" s="1"/>
  <c r="AE143" i="47"/>
  <c r="AE140" i="47" s="1"/>
  <c r="AE139" i="47" s="1"/>
  <c r="Y142" i="47"/>
  <c r="Y141" i="47" s="1"/>
  <c r="Y139" i="47" s="1"/>
  <c r="AA141" i="47"/>
  <c r="AA139" i="47" s="1"/>
  <c r="Z141" i="47"/>
  <c r="Z139" i="47" s="1"/>
  <c r="X141" i="47"/>
  <c r="W141" i="47"/>
  <c r="W139" i="47" s="1"/>
  <c r="AG140" i="47"/>
  <c r="AF140" i="47"/>
  <c r="AD140" i="47"/>
  <c r="AD139" i="47" s="1"/>
  <c r="AC140" i="47"/>
  <c r="AG139" i="47"/>
  <c r="AF139" i="47"/>
  <c r="X139" i="47"/>
  <c r="AH138" i="47"/>
  <c r="AH135" i="47" s="1"/>
  <c r="AH134" i="47" s="1"/>
  <c r="AE138" i="47"/>
  <c r="AE135" i="47" s="1"/>
  <c r="AE134" i="47" s="1"/>
  <c r="AB137" i="47"/>
  <c r="Y137" i="47"/>
  <c r="Y136" i="47" s="1"/>
  <c r="Y134" i="47" s="1"/>
  <c r="Z136" i="47"/>
  <c r="Z134" i="47" s="1"/>
  <c r="X136" i="47"/>
  <c r="X134" i="47" s="1"/>
  <c r="W136" i="47"/>
  <c r="W134" i="47" s="1"/>
  <c r="AG135" i="47"/>
  <c r="AF135" i="47"/>
  <c r="AD135" i="47"/>
  <c r="AD134" i="47" s="1"/>
  <c r="AC135" i="47"/>
  <c r="AC134" i="47" s="1"/>
  <c r="AG134" i="47"/>
  <c r="AF134" i="47"/>
  <c r="AH133" i="47"/>
  <c r="AH130" i="47" s="1"/>
  <c r="AH129" i="47" s="1"/>
  <c r="AE133" i="47"/>
  <c r="AE130" i="47" s="1"/>
  <c r="AB133" i="47"/>
  <c r="AB130" i="47" s="1"/>
  <c r="AB132" i="47"/>
  <c r="AB131" i="47" s="1"/>
  <c r="AD131" i="47"/>
  <c r="AC131" i="47"/>
  <c r="AA131" i="47"/>
  <c r="AG130" i="47"/>
  <c r="AG129" i="47" s="1"/>
  <c r="AF130" i="47"/>
  <c r="AF129" i="47" s="1"/>
  <c r="AD130" i="47"/>
  <c r="AC130" i="47"/>
  <c r="AA130" i="47"/>
  <c r="Z130" i="47"/>
  <c r="Z129" i="47" s="1"/>
  <c r="Y129" i="47"/>
  <c r="S129" i="47"/>
  <c r="P129" i="47"/>
  <c r="AH128" i="47"/>
  <c r="AH125" i="47" s="1"/>
  <c r="AH124" i="47" s="1"/>
  <c r="AE128" i="47"/>
  <c r="AE125" i="47" s="1"/>
  <c r="AE124" i="47" s="1"/>
  <c r="Y128" i="47"/>
  <c r="AB127" i="47"/>
  <c r="AB126" i="47" s="1"/>
  <c r="Y127" i="47"/>
  <c r="Y126" i="47" s="1"/>
  <c r="Z126" i="47"/>
  <c r="X126" i="47"/>
  <c r="W126" i="47"/>
  <c r="W124" i="47" s="1"/>
  <c r="AG125" i="47"/>
  <c r="AG124" i="47" s="1"/>
  <c r="AF125" i="47"/>
  <c r="AF124" i="47" s="1"/>
  <c r="AD125" i="47"/>
  <c r="AD124" i="47" s="1"/>
  <c r="AC125" i="47"/>
  <c r="AC124" i="47" s="1"/>
  <c r="AA125" i="47"/>
  <c r="Z125" i="47"/>
  <c r="Z124" i="47" s="1"/>
  <c r="Y125" i="47"/>
  <c r="X125" i="47"/>
  <c r="X124" i="47" s="1"/>
  <c r="W125" i="47"/>
  <c r="S124" i="47"/>
  <c r="P124" i="47"/>
  <c r="S123" i="47"/>
  <c r="S122" i="47"/>
  <c r="R121" i="47"/>
  <c r="R119" i="47" s="1"/>
  <c r="Q121" i="47"/>
  <c r="Q119" i="47" s="1"/>
  <c r="S118" i="47"/>
  <c r="S117" i="47"/>
  <c r="R116" i="47"/>
  <c r="R114" i="47" s="1"/>
  <c r="Q116" i="47"/>
  <c r="Q114" i="47" s="1"/>
  <c r="S113" i="47"/>
  <c r="S112" i="47"/>
  <c r="R111" i="47"/>
  <c r="Q111" i="47"/>
  <c r="Q109" i="47" s="1"/>
  <c r="R109" i="47"/>
  <c r="S108" i="47"/>
  <c r="N108" i="47"/>
  <c r="P108" i="47" s="1"/>
  <c r="S107" i="47"/>
  <c r="S106" i="47" s="1"/>
  <c r="N107" i="47"/>
  <c r="N106" i="47" s="1"/>
  <c r="R106" i="47"/>
  <c r="Q106" i="47"/>
  <c r="O106" i="47"/>
  <c r="P105" i="47"/>
  <c r="P104" i="47"/>
  <c r="P103" i="47"/>
  <c r="O103" i="47"/>
  <c r="N103" i="47"/>
  <c r="P102" i="47"/>
  <c r="P101" i="47"/>
  <c r="O100" i="47"/>
  <c r="N100" i="47"/>
  <c r="P99" i="47"/>
  <c r="P98" i="47"/>
  <c r="O97" i="47"/>
  <c r="N97" i="47"/>
  <c r="V96" i="47"/>
  <c r="V94" i="47" s="1"/>
  <c r="S96" i="47"/>
  <c r="P96" i="47"/>
  <c r="P94" i="47" s="1"/>
  <c r="AI94" i="47" s="1"/>
  <c r="S95" i="47"/>
  <c r="U94" i="47"/>
  <c r="T94" i="47"/>
  <c r="S94" i="47"/>
  <c r="Q94" i="47"/>
  <c r="O94" i="47"/>
  <c r="N94" i="47"/>
  <c r="M94" i="47"/>
  <c r="AF93" i="47"/>
  <c r="AF90" i="47" s="1"/>
  <c r="AE93" i="47"/>
  <c r="AE90" i="47" s="1"/>
  <c r="AE89" i="47" s="1"/>
  <c r="AB93" i="47"/>
  <c r="Y93" i="47"/>
  <c r="Y90" i="47" s="1"/>
  <c r="S93" i="47"/>
  <c r="P93" i="47"/>
  <c r="Y92" i="47"/>
  <c r="S92" i="47"/>
  <c r="Y91" i="47"/>
  <c r="X91" i="47"/>
  <c r="W91" i="47"/>
  <c r="S91" i="47"/>
  <c r="AG90" i="47"/>
  <c r="AD90" i="47"/>
  <c r="AD89" i="47" s="1"/>
  <c r="AC90" i="47"/>
  <c r="AC89" i="47" s="1"/>
  <c r="AB90" i="47"/>
  <c r="AA90" i="47"/>
  <c r="AA89" i="47" s="1"/>
  <c r="Z90" i="47"/>
  <c r="X90" i="47"/>
  <c r="X89" i="47" s="1"/>
  <c r="W90" i="47"/>
  <c r="W89" i="47" s="1"/>
  <c r="S90" i="47"/>
  <c r="P90" i="47"/>
  <c r="P89" i="47" s="1"/>
  <c r="AG89" i="47"/>
  <c r="AB89" i="47"/>
  <c r="Z89" i="47"/>
  <c r="T89" i="47"/>
  <c r="S89" i="47"/>
  <c r="Q89" i="47"/>
  <c r="O89" i="47"/>
  <c r="N89" i="47"/>
  <c r="M89" i="47"/>
  <c r="I89" i="47"/>
  <c r="AH88" i="47"/>
  <c r="AE88" i="47"/>
  <c r="AE85" i="47" s="1"/>
  <c r="S88" i="47"/>
  <c r="P88" i="47"/>
  <c r="AE87" i="47"/>
  <c r="AE86" i="47" s="1"/>
  <c r="AB87" i="47"/>
  <c r="AB86" i="47" s="1"/>
  <c r="AB84" i="47" s="1"/>
  <c r="Y87" i="47"/>
  <c r="Y86" i="47" s="1"/>
  <c r="Y84" i="47" s="1"/>
  <c r="S87" i="47"/>
  <c r="S86" i="47" s="1"/>
  <c r="Q87" i="47"/>
  <c r="N87" i="47"/>
  <c r="P87" i="47" s="1"/>
  <c r="AD86" i="47"/>
  <c r="AD12" i="47" s="1"/>
  <c r="AC86" i="47"/>
  <c r="AA86" i="47"/>
  <c r="AA84" i="47" s="1"/>
  <c r="Z86" i="47"/>
  <c r="Z84" i="47" s="1"/>
  <c r="X86" i="47"/>
  <c r="X84" i="47" s="1"/>
  <c r="R86" i="47"/>
  <c r="Q86" i="47"/>
  <c r="Q84" i="47" s="1"/>
  <c r="S84" i="47" s="1"/>
  <c r="O86" i="47"/>
  <c r="M86" i="47"/>
  <c r="M84" i="47" s="1"/>
  <c r="AH85" i="47"/>
  <c r="AH84" i="47" s="1"/>
  <c r="AG85" i="47"/>
  <c r="AG84" i="47" s="1"/>
  <c r="AF85" i="47"/>
  <c r="AD85" i="47"/>
  <c r="AC85" i="47"/>
  <c r="S85" i="47"/>
  <c r="AF84" i="47"/>
  <c r="V84" i="47"/>
  <c r="U84" i="47"/>
  <c r="T84" i="47"/>
  <c r="R84" i="47"/>
  <c r="O84" i="47"/>
  <c r="AH83" i="47"/>
  <c r="AE83" i="47"/>
  <c r="S83" i="47"/>
  <c r="P83" i="47"/>
  <c r="AE82" i="47"/>
  <c r="AB82" i="47"/>
  <c r="AB81" i="47" s="1"/>
  <c r="AB79" i="47" s="1"/>
  <c r="Y82" i="47"/>
  <c r="Y81" i="47" s="1"/>
  <c r="Y79" i="47" s="1"/>
  <c r="S82" i="47"/>
  <c r="S81" i="47" s="1"/>
  <c r="Q82" i="47"/>
  <c r="Q81" i="47" s="1"/>
  <c r="Q79" i="47" s="1"/>
  <c r="N82" i="47"/>
  <c r="P82" i="47" s="1"/>
  <c r="AF81" i="47"/>
  <c r="AE81" i="47"/>
  <c r="AD81" i="47"/>
  <c r="AC81" i="47"/>
  <c r="AA81" i="47"/>
  <c r="AA79" i="47" s="1"/>
  <c r="Z81" i="47"/>
  <c r="Z79" i="47" s="1"/>
  <c r="X81" i="47"/>
  <c r="W81" i="47"/>
  <c r="R81" i="47"/>
  <c r="R79" i="47" s="1"/>
  <c r="O81" i="47"/>
  <c r="O79" i="47" s="1"/>
  <c r="N81" i="47"/>
  <c r="P81" i="47" s="1"/>
  <c r="AH80" i="47"/>
  <c r="AH79" i="47" s="1"/>
  <c r="AG80" i="47"/>
  <c r="AG79" i="47" s="1"/>
  <c r="AF80" i="47"/>
  <c r="AE80" i="47"/>
  <c r="AD80" i="47"/>
  <c r="AD79" i="47" s="1"/>
  <c r="AC80" i="47"/>
  <c r="S80" i="47"/>
  <c r="P80" i="47"/>
  <c r="X79" i="47"/>
  <c r="W79" i="47"/>
  <c r="V79" i="47"/>
  <c r="U79" i="47"/>
  <c r="T79" i="47"/>
  <c r="M79" i="47"/>
  <c r="I79" i="47"/>
  <c r="Z78" i="47"/>
  <c r="AB78" i="47" s="1"/>
  <c r="Y78" i="47"/>
  <c r="Y75" i="47" s="1"/>
  <c r="S78" i="47"/>
  <c r="P78" i="47"/>
  <c r="V77" i="47"/>
  <c r="S77" i="47"/>
  <c r="P77" i="47"/>
  <c r="N77" i="47"/>
  <c r="N76" i="47" s="1"/>
  <c r="N74" i="47" s="1"/>
  <c r="U76" i="47"/>
  <c r="U74" i="47" s="1"/>
  <c r="T76" i="47"/>
  <c r="T74" i="47" s="1"/>
  <c r="R76" i="47"/>
  <c r="Q76" i="47"/>
  <c r="P76" i="47"/>
  <c r="O76" i="47"/>
  <c r="AB75" i="47"/>
  <c r="AA75" i="47"/>
  <c r="AA74" i="47" s="1"/>
  <c r="Z75" i="47"/>
  <c r="Z74" i="47" s="1"/>
  <c r="X75" i="47"/>
  <c r="X74" i="47" s="1"/>
  <c r="W75" i="47"/>
  <c r="W74" i="47" s="1"/>
  <c r="S75" i="47"/>
  <c r="P75" i="47"/>
  <c r="AB74" i="47"/>
  <c r="R74" i="47"/>
  <c r="P74" i="47"/>
  <c r="O74" i="47"/>
  <c r="M74" i="47"/>
  <c r="AH73" i="47"/>
  <c r="AH70" i="47" s="1"/>
  <c r="AH69" i="47" s="1"/>
  <c r="AE73" i="47"/>
  <c r="AA70" i="47"/>
  <c r="AB72" i="47"/>
  <c r="W71" i="47"/>
  <c r="AB71" i="47"/>
  <c r="AA71" i="47"/>
  <c r="X71" i="47"/>
  <c r="X69" i="47" s="1"/>
  <c r="AG70" i="47"/>
  <c r="AG69" i="47" s="1"/>
  <c r="AF70" i="47"/>
  <c r="AF69" i="47" s="1"/>
  <c r="AE70" i="47"/>
  <c r="AD70" i="47"/>
  <c r="AC70" i="47"/>
  <c r="AC69" i="47" s="1"/>
  <c r="Z70" i="47"/>
  <c r="Z69" i="47" s="1"/>
  <c r="AE69" i="47"/>
  <c r="AD69" i="47"/>
  <c r="AH68" i="47"/>
  <c r="AE68" i="47"/>
  <c r="AE65" i="47" s="1"/>
  <c r="AE64" i="47" s="1"/>
  <c r="AB68" i="47"/>
  <c r="AB65" i="47" s="1"/>
  <c r="AB67" i="47"/>
  <c r="AB66" i="47" s="1"/>
  <c r="Y67" i="47"/>
  <c r="Y66" i="47" s="1"/>
  <c r="S67" i="47"/>
  <c r="S66" i="47" s="1"/>
  <c r="S64" i="47" s="1"/>
  <c r="AA66" i="47"/>
  <c r="X66" i="47"/>
  <c r="X64" i="47" s="1"/>
  <c r="W66" i="47"/>
  <c r="W64" i="47" s="1"/>
  <c r="R66" i="47"/>
  <c r="Q66" i="47"/>
  <c r="AH65" i="47"/>
  <c r="AH64" i="47" s="1"/>
  <c r="AG65" i="47"/>
  <c r="AG64" i="47" s="1"/>
  <c r="AF65" i="47"/>
  <c r="AD65" i="47"/>
  <c r="AD64" i="47" s="1"/>
  <c r="AC65" i="47"/>
  <c r="AC11" i="47" s="1"/>
  <c r="AA65" i="47"/>
  <c r="Z65" i="47"/>
  <c r="Z64" i="47" s="1"/>
  <c r="AF64" i="47"/>
  <c r="AC64" i="47"/>
  <c r="Y64" i="47"/>
  <c r="R64" i="47"/>
  <c r="Q64" i="47"/>
  <c r="V63" i="47"/>
  <c r="V60" i="47" s="1"/>
  <c r="S63" i="47"/>
  <c r="S62" i="47"/>
  <c r="S61" i="47" s="1"/>
  <c r="R59" i="47"/>
  <c r="S59" i="47" s="1"/>
  <c r="U60" i="47"/>
  <c r="U59" i="47" s="1"/>
  <c r="S60" i="47"/>
  <c r="AF59" i="47"/>
  <c r="AC59" i="47"/>
  <c r="Z59" i="47"/>
  <c r="W59" i="47"/>
  <c r="T59" i="47"/>
  <c r="AB58" i="47"/>
  <c r="AB55" i="47" s="1"/>
  <c r="Y58" i="47"/>
  <c r="Y55" i="47" s="1"/>
  <c r="Y54" i="47" s="1"/>
  <c r="AB57" i="47"/>
  <c r="V57" i="47"/>
  <c r="AB56" i="47"/>
  <c r="AA56" i="47"/>
  <c r="Z56" i="47"/>
  <c r="V56" i="47"/>
  <c r="V54" i="47" s="1"/>
  <c r="Q54" i="47"/>
  <c r="AA55" i="47"/>
  <c r="Z55" i="47"/>
  <c r="X55" i="47"/>
  <c r="X54" i="47" s="1"/>
  <c r="W55" i="47"/>
  <c r="W54" i="47" s="1"/>
  <c r="S55" i="47"/>
  <c r="Z54" i="47"/>
  <c r="U54" i="47"/>
  <c r="T54" i="47"/>
  <c r="I54" i="47"/>
  <c r="AB53" i="47"/>
  <c r="AB51" i="47" s="1"/>
  <c r="AB49" i="47" s="1"/>
  <c r="Y53" i="47"/>
  <c r="Y51" i="47" s="1"/>
  <c r="Y49" i="47" s="1"/>
  <c r="V52" i="47"/>
  <c r="V51" i="47" s="1"/>
  <c r="V49" i="47" s="1"/>
  <c r="AA51" i="47"/>
  <c r="Z51" i="47"/>
  <c r="Z49" i="47" s="1"/>
  <c r="X51" i="47"/>
  <c r="X49" i="47" s="1"/>
  <c r="W51" i="47"/>
  <c r="U51" i="47"/>
  <c r="U49" i="47" s="1"/>
  <c r="T51" i="47"/>
  <c r="T49" i="47" s="1"/>
  <c r="AA49" i="47"/>
  <c r="W49" i="47"/>
  <c r="AH48" i="47"/>
  <c r="AE48" i="47"/>
  <c r="AE45" i="47" s="1"/>
  <c r="S48" i="47"/>
  <c r="AB47" i="47"/>
  <c r="AB46" i="47" s="1"/>
  <c r="AB44" i="47" s="1"/>
  <c r="Y47" i="47"/>
  <c r="S47" i="47"/>
  <c r="AA46" i="47"/>
  <c r="Z46" i="47"/>
  <c r="Y46" i="47"/>
  <c r="Y44" i="47" s="1"/>
  <c r="X46" i="47"/>
  <c r="X44" i="47" s="1"/>
  <c r="W46" i="47"/>
  <c r="W44" i="47" s="1"/>
  <c r="S46" i="47"/>
  <c r="AH45" i="47"/>
  <c r="AH44" i="47" s="1"/>
  <c r="AG45" i="47"/>
  <c r="AF45" i="47"/>
  <c r="AF44" i="47" s="1"/>
  <c r="AD45" i="47"/>
  <c r="AD44" i="47" s="1"/>
  <c r="AC45" i="47"/>
  <c r="S45" i="47"/>
  <c r="AG44" i="47"/>
  <c r="AE44" i="47"/>
  <c r="AC44" i="47"/>
  <c r="AA44" i="47"/>
  <c r="Z44" i="47"/>
  <c r="T44" i="47"/>
  <c r="Q44" i="47"/>
  <c r="S44" i="47" s="1"/>
  <c r="I44" i="47"/>
  <c r="AE43" i="47"/>
  <c r="Z43" i="47"/>
  <c r="AB43" i="47" s="1"/>
  <c r="Y43" i="47"/>
  <c r="V43" i="47"/>
  <c r="S43" i="47"/>
  <c r="S42" i="47"/>
  <c r="N42" i="47"/>
  <c r="S41" i="47"/>
  <c r="O41" i="47"/>
  <c r="O39" i="47" s="1"/>
  <c r="M41" i="47"/>
  <c r="AE40" i="47"/>
  <c r="AE39" i="47" s="1"/>
  <c r="AB40" i="47"/>
  <c r="AB39" i="47" s="1"/>
  <c r="Z40" i="47"/>
  <c r="Y40" i="47"/>
  <c r="V40" i="47"/>
  <c r="V39" i="47" s="1"/>
  <c r="S40" i="47"/>
  <c r="P40" i="47"/>
  <c r="AD39" i="47"/>
  <c r="AC39" i="47"/>
  <c r="AA39" i="47"/>
  <c r="Z39" i="47"/>
  <c r="Y39" i="47"/>
  <c r="X39" i="47"/>
  <c r="W39" i="47"/>
  <c r="U39" i="47"/>
  <c r="T39" i="47"/>
  <c r="R39" i="47"/>
  <c r="Q39" i="47"/>
  <c r="M39" i="47"/>
  <c r="AB38" i="47"/>
  <c r="Y38" i="47"/>
  <c r="S38" i="47"/>
  <c r="S35" i="47" s="1"/>
  <c r="P38" i="47"/>
  <c r="P35" i="47" s="1"/>
  <c r="S37" i="47"/>
  <c r="S36" i="47" s="1"/>
  <c r="P37" i="47"/>
  <c r="P36" i="47" s="1"/>
  <c r="N36" i="47"/>
  <c r="R36" i="47"/>
  <c r="Q36" i="47"/>
  <c r="Q34" i="47" s="1"/>
  <c r="O36" i="47"/>
  <c r="AB35" i="47"/>
  <c r="AB34" i="47" s="1"/>
  <c r="Y35" i="47"/>
  <c r="V35" i="47"/>
  <c r="V34" i="47" s="1"/>
  <c r="R35" i="47"/>
  <c r="Q35" i="47"/>
  <c r="O35" i="47"/>
  <c r="N35" i="47"/>
  <c r="AA34" i="47"/>
  <c r="Z34" i="47"/>
  <c r="Y34" i="47"/>
  <c r="X34" i="47"/>
  <c r="W34" i="47"/>
  <c r="U34" i="47"/>
  <c r="T34" i="47"/>
  <c r="R34" i="47"/>
  <c r="AB33" i="47"/>
  <c r="Y33" i="47"/>
  <c r="V33" i="47"/>
  <c r="S33" i="47"/>
  <c r="P33" i="47"/>
  <c r="S32" i="47"/>
  <c r="N32" i="47"/>
  <c r="N31" i="47" s="1"/>
  <c r="AB31" i="47"/>
  <c r="Y31" i="47"/>
  <c r="V31" i="47"/>
  <c r="O31" i="47"/>
  <c r="M31" i="47"/>
  <c r="AB30" i="47"/>
  <c r="AB29" i="47" s="1"/>
  <c r="Y30" i="47"/>
  <c r="V30" i="47"/>
  <c r="R11" i="47"/>
  <c r="O30" i="47"/>
  <c r="N30" i="47"/>
  <c r="AC29" i="47"/>
  <c r="AA29" i="47"/>
  <c r="Z29" i="47"/>
  <c r="X29" i="47"/>
  <c r="W29" i="47"/>
  <c r="U29" i="47"/>
  <c r="T29" i="47"/>
  <c r="R29" i="47"/>
  <c r="N29" i="47"/>
  <c r="M29" i="47"/>
  <c r="Y28" i="47"/>
  <c r="Y24" i="47" s="1"/>
  <c r="V28" i="47"/>
  <c r="S28" i="47"/>
  <c r="N28" i="47"/>
  <c r="P26" i="47" s="1"/>
  <c r="P24" i="47" s="1"/>
  <c r="V27" i="47"/>
  <c r="V26" i="47" s="1"/>
  <c r="V24" i="47" s="1"/>
  <c r="S27" i="47"/>
  <c r="P27" i="47"/>
  <c r="Y26" i="47"/>
  <c r="X26" i="47"/>
  <c r="W26" i="47"/>
  <c r="U26" i="47"/>
  <c r="T26" i="47"/>
  <c r="R26" i="47"/>
  <c r="R24" i="47" s="1"/>
  <c r="Q26" i="47"/>
  <c r="M26" i="47"/>
  <c r="X24" i="47"/>
  <c r="W24" i="47"/>
  <c r="U24" i="47"/>
  <c r="T24" i="47"/>
  <c r="Q24" i="47"/>
  <c r="O24" i="47"/>
  <c r="N24" i="47"/>
  <c r="M24" i="47"/>
  <c r="L24" i="47"/>
  <c r="I24" i="47"/>
  <c r="AH23" i="47"/>
  <c r="AE23" i="47"/>
  <c r="AE20" i="47" s="1"/>
  <c r="AB23" i="47"/>
  <c r="AB20" i="47" s="1"/>
  <c r="S23" i="47"/>
  <c r="P23" i="47"/>
  <c r="AB22" i="47"/>
  <c r="AB21" i="47" s="1"/>
  <c r="Y22" i="47"/>
  <c r="Y21" i="47" s="1"/>
  <c r="Y19" i="47" s="1"/>
  <c r="S22" i="47"/>
  <c r="N22" i="47"/>
  <c r="N21" i="47" s="1"/>
  <c r="AA21" i="47"/>
  <c r="Z21" i="47"/>
  <c r="X21" i="47"/>
  <c r="W21" i="47"/>
  <c r="W19" i="47" s="1"/>
  <c r="S21" i="47"/>
  <c r="S19" i="47" s="1"/>
  <c r="O21" i="47"/>
  <c r="AH20" i="47"/>
  <c r="AG20" i="47"/>
  <c r="AG11" i="47" s="1"/>
  <c r="AG8" i="47" s="1"/>
  <c r="AF20" i="47"/>
  <c r="AD20" i="47"/>
  <c r="AC20" i="47"/>
  <c r="AC19" i="47" s="1"/>
  <c r="AA20" i="47"/>
  <c r="AA19" i="47" s="1"/>
  <c r="Z20" i="47"/>
  <c r="Z11" i="47" s="1"/>
  <c r="S20" i="47"/>
  <c r="P20" i="47"/>
  <c r="AG19" i="47"/>
  <c r="AF19" i="47"/>
  <c r="T19" i="47"/>
  <c r="R19" i="47"/>
  <c r="Q19" i="47"/>
  <c r="O19" i="47"/>
  <c r="M19" i="47"/>
  <c r="L19" i="47"/>
  <c r="L8" i="47" s="1"/>
  <c r="I19" i="47"/>
  <c r="P18" i="47"/>
  <c r="S16" i="47"/>
  <c r="P17" i="47"/>
  <c r="Q16" i="47"/>
  <c r="Q14" i="47" s="1"/>
  <c r="O16" i="47"/>
  <c r="P16" i="47" s="1"/>
  <c r="M16" i="47"/>
  <c r="M14" i="47" s="1"/>
  <c r="S15" i="47"/>
  <c r="P15" i="47"/>
  <c r="P14" i="47" s="1"/>
  <c r="T14" i="47"/>
  <c r="V14" i="47" s="1"/>
  <c r="O14" i="47"/>
  <c r="N14" i="47"/>
  <c r="L14" i="47"/>
  <c r="AH12" i="47"/>
  <c r="AG12" i="47"/>
  <c r="AF12" i="47"/>
  <c r="AC12" i="47"/>
  <c r="T12" i="47"/>
  <c r="O12" i="47"/>
  <c r="X11" i="47"/>
  <c r="W11" i="47"/>
  <c r="T11" i="47"/>
  <c r="Q11" i="47"/>
  <c r="O11" i="47"/>
  <c r="M11" i="47"/>
  <c r="AH10" i="47"/>
  <c r="AG10" i="47"/>
  <c r="AF10" i="47"/>
  <c r="AE10" i="47"/>
  <c r="AD10" i="47"/>
  <c r="AC10" i="47"/>
  <c r="AB10" i="47"/>
  <c r="AA10" i="47"/>
  <c r="Z10" i="47"/>
  <c r="Y10" i="47"/>
  <c r="X10" i="47"/>
  <c r="X9" i="47" s="1"/>
  <c r="W10" i="47"/>
  <c r="V10" i="47"/>
  <c r="U10" i="47"/>
  <c r="T10" i="47"/>
  <c r="R10" i="47"/>
  <c r="Q10" i="47"/>
  <c r="P10" i="47"/>
  <c r="O10" i="47"/>
  <c r="O9" i="47" s="1"/>
  <c r="N10" i="47"/>
  <c r="M10" i="47"/>
  <c r="M9" i="47"/>
  <c r="K8" i="47"/>
  <c r="J8" i="47"/>
  <c r="I8" i="47"/>
  <c r="G8" i="47"/>
  <c r="F8" i="47"/>
  <c r="E8" i="47"/>
  <c r="R165" i="46"/>
  <c r="R164" i="46" s="1"/>
  <c r="Q165" i="46"/>
  <c r="S155" i="46"/>
  <c r="Q155" i="46"/>
  <c r="Q154" i="46" s="1"/>
  <c r="Q150" i="46"/>
  <c r="R30" i="46"/>
  <c r="R33" i="46"/>
  <c r="N33" i="46"/>
  <c r="N30" i="46" s="1"/>
  <c r="N11" i="46" s="1"/>
  <c r="U151" i="46"/>
  <c r="U153" i="46"/>
  <c r="X146" i="46"/>
  <c r="X148" i="46"/>
  <c r="AB164" i="46"/>
  <c r="AA164" i="46"/>
  <c r="AB165" i="46"/>
  <c r="AB166" i="46"/>
  <c r="AB168" i="46"/>
  <c r="Y165" i="46"/>
  <c r="X166" i="46"/>
  <c r="Y166" i="46" s="1"/>
  <c r="Y164" i="46" s="1"/>
  <c r="Y168" i="46"/>
  <c r="X168" i="46"/>
  <c r="Y167" i="46"/>
  <c r="V166" i="46"/>
  <c r="U166" i="46"/>
  <c r="V167" i="46"/>
  <c r="Q164" i="46"/>
  <c r="AA159" i="46"/>
  <c r="AB160" i="46"/>
  <c r="AB161" i="46"/>
  <c r="AB159" i="46" s="1"/>
  <c r="AB163" i="46"/>
  <c r="X159" i="46"/>
  <c r="Y163" i="46"/>
  <c r="Y161" i="46"/>
  <c r="X161" i="46"/>
  <c r="Y160" i="46"/>
  <c r="Y159" i="46" s="1"/>
  <c r="Y162" i="46"/>
  <c r="V161" i="46"/>
  <c r="U161" i="46"/>
  <c r="V162" i="46"/>
  <c r="V155" i="46"/>
  <c r="Y156" i="46"/>
  <c r="Y154" i="46" s="1"/>
  <c r="Y155" i="46"/>
  <c r="X154" i="46"/>
  <c r="Y158" i="46"/>
  <c r="X158" i="46"/>
  <c r="U156" i="46"/>
  <c r="U154" i="46" s="1"/>
  <c r="U158" i="46"/>
  <c r="V156" i="46"/>
  <c r="V157" i="46"/>
  <c r="Y153" i="46"/>
  <c r="Y151" i="46"/>
  <c r="Y149" i="46" s="1"/>
  <c r="Y150" i="46"/>
  <c r="X149" i="46"/>
  <c r="V150" i="46"/>
  <c r="V151" i="46"/>
  <c r="V152" i="46"/>
  <c r="Q149" i="46"/>
  <c r="R149" i="46"/>
  <c r="AA144" i="46"/>
  <c r="AB147" i="46"/>
  <c r="AB146" i="46"/>
  <c r="AB145" i="46"/>
  <c r="AB144" i="46" s="1"/>
  <c r="AB148" i="46"/>
  <c r="Y145" i="46"/>
  <c r="Y148" i="46"/>
  <c r="X144" i="46"/>
  <c r="V145" i="46"/>
  <c r="W144" i="46"/>
  <c r="Y146" i="46"/>
  <c r="Y147" i="46"/>
  <c r="U146" i="46"/>
  <c r="V146" i="46" s="1"/>
  <c r="V144" i="46" s="1"/>
  <c r="U145" i="46"/>
  <c r="V147" i="46"/>
  <c r="Q145" i="46"/>
  <c r="AH170" i="46"/>
  <c r="AE170" i="46"/>
  <c r="AB170" i="46"/>
  <c r="Y170" i="46"/>
  <c r="V170" i="46"/>
  <c r="Q170" i="46"/>
  <c r="S170" i="46" s="1"/>
  <c r="P170" i="46"/>
  <c r="AH169" i="46"/>
  <c r="AE169" i="46"/>
  <c r="AB169" i="46"/>
  <c r="Y169" i="46"/>
  <c r="Q169" i="46"/>
  <c r="S169" i="46" s="1"/>
  <c r="S10" i="46" s="1"/>
  <c r="P169" i="46"/>
  <c r="V168" i="46"/>
  <c r="S167" i="46"/>
  <c r="S165" i="46" s="1"/>
  <c r="V164" i="46"/>
  <c r="U164" i="46"/>
  <c r="V163" i="46"/>
  <c r="V159" i="46" s="1"/>
  <c r="S162" i="46"/>
  <c r="S160" i="46" s="1"/>
  <c r="S159" i="46" s="1"/>
  <c r="R160" i="46"/>
  <c r="R159" i="46" s="1"/>
  <c r="U159" i="46"/>
  <c r="V158" i="46"/>
  <c r="S157" i="46"/>
  <c r="S156" i="46" s="1"/>
  <c r="R154" i="46"/>
  <c r="V153" i="46"/>
  <c r="S152" i="46"/>
  <c r="S151" i="46" s="1"/>
  <c r="V148" i="46"/>
  <c r="S147" i="46"/>
  <c r="S145" i="46" s="1"/>
  <c r="S144" i="46" s="1"/>
  <c r="U144" i="46"/>
  <c r="R145" i="46"/>
  <c r="R144" i="46" s="1"/>
  <c r="AH143" i="46"/>
  <c r="AH140" i="46" s="1"/>
  <c r="AH139" i="46" s="1"/>
  <c r="AE143" i="46"/>
  <c r="AE140" i="46" s="1"/>
  <c r="AE139" i="46" s="1"/>
  <c r="AA142" i="46"/>
  <c r="AB142" i="46" s="1"/>
  <c r="AB141" i="46" s="1"/>
  <c r="AB139" i="46" s="1"/>
  <c r="Y142" i="46"/>
  <c r="Y141" i="46" s="1"/>
  <c r="Y139" i="46" s="1"/>
  <c r="Z141" i="46"/>
  <c r="Z139" i="46" s="1"/>
  <c r="X141" i="46"/>
  <c r="X139" i="46" s="1"/>
  <c r="W141" i="46"/>
  <c r="AG140" i="46"/>
  <c r="AG139" i="46" s="1"/>
  <c r="AF140" i="46"/>
  <c r="AF139" i="46" s="1"/>
  <c r="AD140" i="46"/>
  <c r="AD139" i="46" s="1"/>
  <c r="AC140" i="46"/>
  <c r="W139" i="46"/>
  <c r="AH138" i="46"/>
  <c r="AE138" i="46"/>
  <c r="AA137" i="46"/>
  <c r="AB137" i="46" s="1"/>
  <c r="AB136" i="46" s="1"/>
  <c r="AB134" i="46" s="1"/>
  <c r="Y137" i="46"/>
  <c r="Z136" i="46"/>
  <c r="Z134" i="46" s="1"/>
  <c r="Y136" i="46"/>
  <c r="Y134" i="46" s="1"/>
  <c r="X136" i="46"/>
  <c r="X134" i="46" s="1"/>
  <c r="W136" i="46"/>
  <c r="AH135" i="46"/>
  <c r="AH134" i="46" s="1"/>
  <c r="AG135" i="46"/>
  <c r="AG134" i="46" s="1"/>
  <c r="AF135" i="46"/>
  <c r="AF134" i="46" s="1"/>
  <c r="AE135" i="46"/>
  <c r="AD135" i="46"/>
  <c r="AC135" i="46"/>
  <c r="AC134" i="46" s="1"/>
  <c r="AE134" i="46"/>
  <c r="AD134" i="46"/>
  <c r="W134" i="46"/>
  <c r="AG133" i="46"/>
  <c r="AH133" i="46" s="1"/>
  <c r="AH130" i="46" s="1"/>
  <c r="AH129" i="46" s="1"/>
  <c r="AE133" i="46"/>
  <c r="AB133" i="46"/>
  <c r="AB130" i="46" s="1"/>
  <c r="AB129" i="46" s="1"/>
  <c r="AD132" i="46"/>
  <c r="AE132" i="46" s="1"/>
  <c r="AB132" i="46"/>
  <c r="AB131" i="46" s="1"/>
  <c r="AC131" i="46"/>
  <c r="AA131" i="46"/>
  <c r="AG130" i="46"/>
  <c r="AF130" i="46"/>
  <c r="AF129" i="46" s="1"/>
  <c r="AE130" i="46"/>
  <c r="AD130" i="46"/>
  <c r="AC130" i="46"/>
  <c r="AC129" i="46" s="1"/>
  <c r="AA130" i="46"/>
  <c r="Z130" i="46"/>
  <c r="Z129" i="46" s="1"/>
  <c r="AG129" i="46"/>
  <c r="Y129" i="46"/>
  <c r="S129" i="46"/>
  <c r="P129" i="46"/>
  <c r="AG128" i="46"/>
  <c r="AG125" i="46" s="1"/>
  <c r="AG124" i="46" s="1"/>
  <c r="AE128" i="46"/>
  <c r="AE125" i="46" s="1"/>
  <c r="AE124" i="46" s="1"/>
  <c r="AB128" i="46"/>
  <c r="Y128" i="46"/>
  <c r="Y125" i="46" s="1"/>
  <c r="Y124" i="46" s="1"/>
  <c r="AB127" i="46"/>
  <c r="AB126" i="46" s="1"/>
  <c r="AA127" i="46"/>
  <c r="Y127" i="46"/>
  <c r="AA126" i="46"/>
  <c r="Z126" i="46"/>
  <c r="Y126" i="46"/>
  <c r="X126" i="46"/>
  <c r="W126" i="46"/>
  <c r="AF125" i="46"/>
  <c r="AF124" i="46" s="1"/>
  <c r="AD125" i="46"/>
  <c r="AD124" i="46" s="1"/>
  <c r="AC125" i="46"/>
  <c r="AC124" i="46" s="1"/>
  <c r="AB125" i="46"/>
  <c r="AA125" i="46"/>
  <c r="Z125" i="46"/>
  <c r="X125" i="46"/>
  <c r="X124" i="46" s="1"/>
  <c r="W125" i="46"/>
  <c r="Z124" i="46"/>
  <c r="S124" i="46"/>
  <c r="P124" i="46"/>
  <c r="S123" i="46"/>
  <c r="S122" i="46"/>
  <c r="R121" i="46"/>
  <c r="R119" i="46" s="1"/>
  <c r="Q121" i="46"/>
  <c r="Q119" i="46"/>
  <c r="S118" i="46"/>
  <c r="S116" i="46" s="1"/>
  <c r="S114" i="46" s="1"/>
  <c r="S117" i="46"/>
  <c r="R116" i="46"/>
  <c r="R114" i="46" s="1"/>
  <c r="Q116" i="46"/>
  <c r="Q114" i="46"/>
  <c r="S113" i="46"/>
  <c r="S111" i="46" s="1"/>
  <c r="S109" i="46" s="1"/>
  <c r="S112" i="46"/>
  <c r="R111" i="46"/>
  <c r="R109" i="46" s="1"/>
  <c r="Q111" i="46"/>
  <c r="Q109" i="46" s="1"/>
  <c r="S108" i="46"/>
  <c r="N108" i="46"/>
  <c r="P108" i="46" s="1"/>
  <c r="S107" i="46"/>
  <c r="S106" i="46" s="1"/>
  <c r="P107" i="46"/>
  <c r="N107" i="46"/>
  <c r="R106" i="46"/>
  <c r="Q106" i="46"/>
  <c r="O106" i="46"/>
  <c r="P105" i="46"/>
  <c r="P104" i="46"/>
  <c r="O103" i="46"/>
  <c r="N103" i="46"/>
  <c r="P102" i="46"/>
  <c r="P101" i="46"/>
  <c r="P100" i="46"/>
  <c r="O100" i="46"/>
  <c r="N100" i="46"/>
  <c r="P99" i="46"/>
  <c r="P98" i="46"/>
  <c r="O97" i="46"/>
  <c r="N97" i="46"/>
  <c r="P97" i="46" s="1"/>
  <c r="V96" i="46"/>
  <c r="V94" i="46" s="1"/>
  <c r="S96" i="46"/>
  <c r="P96" i="46"/>
  <c r="S95" i="46"/>
  <c r="U94" i="46"/>
  <c r="T94" i="46"/>
  <c r="Q94" i="46"/>
  <c r="S94" i="46" s="1"/>
  <c r="P94" i="46"/>
  <c r="O94" i="46"/>
  <c r="N94" i="46"/>
  <c r="M94" i="46"/>
  <c r="AF93" i="46"/>
  <c r="AH93" i="46" s="1"/>
  <c r="AH90" i="46" s="1"/>
  <c r="AH89" i="46" s="1"/>
  <c r="AE93" i="46"/>
  <c r="AE90" i="46" s="1"/>
  <c r="AE89" i="46" s="1"/>
  <c r="AB93" i="46"/>
  <c r="Y93" i="46"/>
  <c r="Y90" i="46" s="1"/>
  <c r="Y89" i="46" s="1"/>
  <c r="S93" i="46"/>
  <c r="P93" i="46"/>
  <c r="Y92" i="46"/>
  <c r="Y91" i="46" s="1"/>
  <c r="S92" i="46"/>
  <c r="X91" i="46"/>
  <c r="W91" i="46"/>
  <c r="S91" i="46"/>
  <c r="AG90" i="46"/>
  <c r="AG89" i="46" s="1"/>
  <c r="AF90" i="46"/>
  <c r="AD90" i="46"/>
  <c r="AD89" i="46" s="1"/>
  <c r="AC90" i="46"/>
  <c r="AC89" i="46" s="1"/>
  <c r="AB90" i="46"/>
  <c r="AB89" i="46" s="1"/>
  <c r="AA90" i="46"/>
  <c r="AA89" i="46" s="1"/>
  <c r="Z90" i="46"/>
  <c r="Z89" i="46" s="1"/>
  <c r="X90" i="46"/>
  <c r="X89" i="46" s="1"/>
  <c r="W90" i="46"/>
  <c r="S90" i="46"/>
  <c r="P90" i="46"/>
  <c r="P89" i="46" s="1"/>
  <c r="AF89" i="46"/>
  <c r="W89" i="46"/>
  <c r="T89" i="46"/>
  <c r="Q89" i="46"/>
  <c r="S89" i="46" s="1"/>
  <c r="O89" i="46"/>
  <c r="N89" i="46"/>
  <c r="M89" i="46"/>
  <c r="I89" i="46"/>
  <c r="AH88" i="46"/>
  <c r="AE88" i="46"/>
  <c r="AE85" i="46" s="1"/>
  <c r="AE84" i="46" s="1"/>
  <c r="S88" i="46"/>
  <c r="P88" i="46"/>
  <c r="AE87" i="46"/>
  <c r="Z87" i="46"/>
  <c r="AB87" i="46" s="1"/>
  <c r="AB86" i="46" s="1"/>
  <c r="AB84" i="46" s="1"/>
  <c r="Y87" i="46"/>
  <c r="Y86" i="46" s="1"/>
  <c r="Y84" i="46" s="1"/>
  <c r="AI84" i="46" s="1"/>
  <c r="W87" i="46"/>
  <c r="Q87" i="46"/>
  <c r="S87" i="46" s="1"/>
  <c r="S86" i="46" s="1"/>
  <c r="P87" i="46"/>
  <c r="P86" i="46" s="1"/>
  <c r="P84" i="46" s="1"/>
  <c r="N87" i="46"/>
  <c r="AE86" i="46"/>
  <c r="AD86" i="46"/>
  <c r="AC86" i="46"/>
  <c r="AC84" i="46" s="1"/>
  <c r="AA86" i="46"/>
  <c r="AA84" i="46" s="1"/>
  <c r="X86" i="46"/>
  <c r="X84" i="46" s="1"/>
  <c r="W86" i="46"/>
  <c r="W84" i="46" s="1"/>
  <c r="R86" i="46"/>
  <c r="R84" i="46" s="1"/>
  <c r="O86" i="46"/>
  <c r="O84" i="46" s="1"/>
  <c r="N86" i="46"/>
  <c r="N84" i="46" s="1"/>
  <c r="M86" i="46"/>
  <c r="AH85" i="46"/>
  <c r="AG85" i="46"/>
  <c r="AF85" i="46"/>
  <c r="AF84" i="46" s="1"/>
  <c r="AD85" i="46"/>
  <c r="AC85" i="46"/>
  <c r="S85" i="46"/>
  <c r="AH84" i="46"/>
  <c r="AG84" i="46"/>
  <c r="V84" i="46"/>
  <c r="U84" i="46"/>
  <c r="T84" i="46"/>
  <c r="M84" i="46"/>
  <c r="AH83" i="46"/>
  <c r="AE83" i="46"/>
  <c r="S83" i="46"/>
  <c r="P83" i="46"/>
  <c r="AE82" i="46"/>
  <c r="AB82" i="46"/>
  <c r="Y82" i="46"/>
  <c r="Y81" i="46" s="1"/>
  <c r="Y79" i="46" s="1"/>
  <c r="S82" i="46"/>
  <c r="S81" i="46" s="1"/>
  <c r="Q82" i="46"/>
  <c r="N82" i="46"/>
  <c r="P82" i="46" s="1"/>
  <c r="AF81" i="46"/>
  <c r="AF79" i="46" s="1"/>
  <c r="AE81" i="46"/>
  <c r="AE79" i="46" s="1"/>
  <c r="AD81" i="46"/>
  <c r="AC81" i="46"/>
  <c r="AB81" i="46"/>
  <c r="AB79" i="46" s="1"/>
  <c r="AA81" i="46"/>
  <c r="Z81" i="46"/>
  <c r="X81" i="46"/>
  <c r="X79" i="46" s="1"/>
  <c r="W81" i="46"/>
  <c r="W79" i="46" s="1"/>
  <c r="R81" i="46"/>
  <c r="Q81" i="46"/>
  <c r="Q79" i="46" s="1"/>
  <c r="P81" i="46"/>
  <c r="P79" i="46" s="1"/>
  <c r="O81" i="46"/>
  <c r="O79" i="46" s="1"/>
  <c r="N81" i="46"/>
  <c r="AH80" i="46"/>
  <c r="AH79" i="46" s="1"/>
  <c r="AG80" i="46"/>
  <c r="AG79" i="46" s="1"/>
  <c r="AF80" i="46"/>
  <c r="AE80" i="46"/>
  <c r="AD80" i="46"/>
  <c r="AD79" i="46" s="1"/>
  <c r="AC80" i="46"/>
  <c r="AC79" i="46" s="1"/>
  <c r="S80" i="46"/>
  <c r="P80" i="46"/>
  <c r="AA79" i="46"/>
  <c r="Z79" i="46"/>
  <c r="V79" i="46"/>
  <c r="U79" i="46"/>
  <c r="T79" i="46"/>
  <c r="R79" i="46"/>
  <c r="N79" i="46"/>
  <c r="M79" i="46"/>
  <c r="I79" i="46"/>
  <c r="Z78" i="46"/>
  <c r="Y78" i="46"/>
  <c r="S78" i="46"/>
  <c r="P78" i="46"/>
  <c r="V77" i="46"/>
  <c r="S77" i="46"/>
  <c r="N77" i="46"/>
  <c r="N76" i="46" s="1"/>
  <c r="N74" i="46" s="1"/>
  <c r="U76" i="46"/>
  <c r="U74" i="46" s="1"/>
  <c r="T76" i="46"/>
  <c r="T74" i="46" s="1"/>
  <c r="R76" i="46"/>
  <c r="Q76" i="46"/>
  <c r="O76" i="46"/>
  <c r="O74" i="46" s="1"/>
  <c r="AA75" i="46"/>
  <c r="Y75" i="46"/>
  <c r="Y74" i="46" s="1"/>
  <c r="X75" i="46"/>
  <c r="X74" i="46" s="1"/>
  <c r="W75" i="46"/>
  <c r="S75" i="46"/>
  <c r="P75" i="46"/>
  <c r="AA74" i="46"/>
  <c r="W74" i="46"/>
  <c r="R74" i="46"/>
  <c r="M74" i="46"/>
  <c r="AH73" i="46"/>
  <c r="AE73" i="46"/>
  <c r="AE70" i="46" s="1"/>
  <c r="AE69" i="46" s="1"/>
  <c r="AD73" i="46"/>
  <c r="AA73" i="46"/>
  <c r="AB73" i="46" s="1"/>
  <c r="AB70" i="46" s="1"/>
  <c r="AB72" i="46"/>
  <c r="Y72" i="46"/>
  <c r="Y71" i="46" s="1"/>
  <c r="Y69" i="46" s="1"/>
  <c r="X72" i="46"/>
  <c r="W72" i="46"/>
  <c r="AB71" i="46"/>
  <c r="AA71" i="46"/>
  <c r="X71" i="46"/>
  <c r="W71" i="46"/>
  <c r="W69" i="46" s="1"/>
  <c r="AH70" i="46"/>
  <c r="AH69" i="46" s="1"/>
  <c r="AG70" i="46"/>
  <c r="AF70" i="46"/>
  <c r="AD70" i="46"/>
  <c r="AD69" i="46" s="1"/>
  <c r="AC70" i="46"/>
  <c r="AC69" i="46" s="1"/>
  <c r="AA70" i="46"/>
  <c r="Z70" i="46"/>
  <c r="Z69" i="46" s="1"/>
  <c r="AG69" i="46"/>
  <c r="AF69" i="46"/>
  <c r="X69" i="46"/>
  <c r="AH68" i="46"/>
  <c r="AH65" i="46" s="1"/>
  <c r="AH64" i="46" s="1"/>
  <c r="AE68" i="46"/>
  <c r="AE65" i="46" s="1"/>
  <c r="AE64" i="46" s="1"/>
  <c r="AD68" i="46"/>
  <c r="AD65" i="46" s="1"/>
  <c r="AA68" i="46"/>
  <c r="AB68" i="46" s="1"/>
  <c r="AB65" i="46" s="1"/>
  <c r="AB67" i="46"/>
  <c r="AB66" i="46" s="1"/>
  <c r="Y67" i="46"/>
  <c r="S67" i="46"/>
  <c r="AA66" i="46"/>
  <c r="Y66" i="46"/>
  <c r="Y64" i="46" s="1"/>
  <c r="X66" i="46"/>
  <c r="W66" i="46"/>
  <c r="S66" i="46"/>
  <c r="S64" i="46" s="1"/>
  <c r="R66" i="46"/>
  <c r="R64" i="46" s="1"/>
  <c r="Q66" i="46"/>
  <c r="Q64" i="46" s="1"/>
  <c r="AG65" i="46"/>
  <c r="AG64" i="46" s="1"/>
  <c r="AF65" i="46"/>
  <c r="AF64" i="46" s="1"/>
  <c r="AC65" i="46"/>
  <c r="AC64" i="46" s="1"/>
  <c r="Z65" i="46"/>
  <c r="Z64" i="46"/>
  <c r="X64" i="46"/>
  <c r="W64" i="46"/>
  <c r="V63" i="46"/>
  <c r="V60" i="46" s="1"/>
  <c r="S63" i="46"/>
  <c r="S62" i="46"/>
  <c r="S61" i="46"/>
  <c r="R61" i="46"/>
  <c r="R59" i="46" s="1"/>
  <c r="S59" i="46" s="1"/>
  <c r="U60" i="46"/>
  <c r="U59" i="46" s="1"/>
  <c r="S60" i="46"/>
  <c r="AF59" i="46"/>
  <c r="AC59" i="46"/>
  <c r="Z59" i="46"/>
  <c r="W59" i="46"/>
  <c r="T59" i="46"/>
  <c r="AB58" i="46"/>
  <c r="Y58" i="46"/>
  <c r="AB57" i="46"/>
  <c r="AB56" i="46" s="1"/>
  <c r="V57" i="46"/>
  <c r="AA56" i="46"/>
  <c r="AA54" i="46" s="1"/>
  <c r="Z56" i="46"/>
  <c r="V56" i="46"/>
  <c r="V54" i="46" s="1"/>
  <c r="Q56" i="46"/>
  <c r="S56" i="46" s="1"/>
  <c r="AB55" i="46"/>
  <c r="AA55" i="46"/>
  <c r="Z55" i="46"/>
  <c r="Y55" i="46"/>
  <c r="X55" i="46"/>
  <c r="W55" i="46"/>
  <c r="S55" i="46"/>
  <c r="Y54" i="46"/>
  <c r="W54" i="46"/>
  <c r="U54" i="46"/>
  <c r="T54" i="46"/>
  <c r="I54" i="46"/>
  <c r="AB53" i="46"/>
  <c r="AB51" i="46" s="1"/>
  <c r="AB49" i="46" s="1"/>
  <c r="Y53" i="46"/>
  <c r="V52" i="46"/>
  <c r="V51" i="46" s="1"/>
  <c r="AA51" i="46"/>
  <c r="AA49" i="46" s="1"/>
  <c r="Z51" i="46"/>
  <c r="Z49" i="46" s="1"/>
  <c r="Y51" i="46"/>
  <c r="Y49" i="46" s="1"/>
  <c r="X51" i="46"/>
  <c r="X49" i="46" s="1"/>
  <c r="W51" i="46"/>
  <c r="W49" i="46" s="1"/>
  <c r="U51" i="46"/>
  <c r="U49" i="46" s="1"/>
  <c r="T51" i="46"/>
  <c r="T49" i="46" s="1"/>
  <c r="AH48" i="46"/>
  <c r="AH45" i="46" s="1"/>
  <c r="AE48" i="46"/>
  <c r="AE45" i="46" s="1"/>
  <c r="S48" i="46"/>
  <c r="AB47" i="46"/>
  <c r="AB46" i="46" s="1"/>
  <c r="AB44" i="46" s="1"/>
  <c r="Y47" i="46"/>
  <c r="Y46" i="46" s="1"/>
  <c r="Y44" i="46" s="1"/>
  <c r="S47" i="46"/>
  <c r="AA46" i="46"/>
  <c r="AA44" i="46" s="1"/>
  <c r="Z46" i="46"/>
  <c r="X46" i="46"/>
  <c r="X44" i="46" s="1"/>
  <c r="W46" i="46"/>
  <c r="W44" i="46" s="1"/>
  <c r="S46" i="46"/>
  <c r="AG45" i="46"/>
  <c r="AF45" i="46"/>
  <c r="AF44" i="46" s="1"/>
  <c r="AD45" i="46"/>
  <c r="AD44" i="46" s="1"/>
  <c r="AC45" i="46"/>
  <c r="S45" i="46"/>
  <c r="AH44" i="46"/>
  <c r="AG44" i="46"/>
  <c r="AC44" i="46"/>
  <c r="Z44" i="46"/>
  <c r="T44" i="46"/>
  <c r="S44" i="46"/>
  <c r="Q44" i="46"/>
  <c r="I44" i="46"/>
  <c r="AE43" i="46"/>
  <c r="AB43" i="46"/>
  <c r="Z43" i="46"/>
  <c r="Y43" i="46"/>
  <c r="V43" i="46"/>
  <c r="S43" i="46"/>
  <c r="S42" i="46"/>
  <c r="N42" i="46"/>
  <c r="P42" i="46" s="1"/>
  <c r="P41" i="46" s="1"/>
  <c r="S41" i="46"/>
  <c r="O41" i="46"/>
  <c r="N41" i="46"/>
  <c r="N39" i="46" s="1"/>
  <c r="M41" i="46"/>
  <c r="M39" i="46" s="1"/>
  <c r="AE40" i="46"/>
  <c r="Z40" i="46"/>
  <c r="AB40" i="46" s="1"/>
  <c r="AB39" i="46" s="1"/>
  <c r="Y40" i="46"/>
  <c r="Y39" i="46" s="1"/>
  <c r="V40" i="46"/>
  <c r="V39" i="46" s="1"/>
  <c r="S40" i="46"/>
  <c r="P40" i="46"/>
  <c r="AE39" i="46"/>
  <c r="AD39" i="46"/>
  <c r="AC39" i="46"/>
  <c r="AA39" i="46"/>
  <c r="X39" i="46"/>
  <c r="W39" i="46"/>
  <c r="U39" i="46"/>
  <c r="T39" i="46"/>
  <c r="S39" i="46"/>
  <c r="R39" i="46"/>
  <c r="Q39" i="46"/>
  <c r="O39" i="46"/>
  <c r="AB38" i="46"/>
  <c r="Y38" i="46"/>
  <c r="S38" i="46"/>
  <c r="P38" i="46"/>
  <c r="P35" i="46" s="1"/>
  <c r="S37" i="46"/>
  <c r="S36" i="46" s="1"/>
  <c r="S34" i="46" s="1"/>
  <c r="Q37" i="46"/>
  <c r="Q36" i="46" s="1"/>
  <c r="N37" i="46"/>
  <c r="P37" i="46" s="1"/>
  <c r="P36" i="46" s="1"/>
  <c r="R36" i="46"/>
  <c r="R34" i="46" s="1"/>
  <c r="O36" i="46"/>
  <c r="O34" i="46" s="1"/>
  <c r="N36" i="46"/>
  <c r="AB35" i="46"/>
  <c r="Y35" i="46"/>
  <c r="Y34" i="46" s="1"/>
  <c r="V35" i="46"/>
  <c r="V34" i="46" s="1"/>
  <c r="S35" i="46"/>
  <c r="R35" i="46"/>
  <c r="Q35" i="46"/>
  <c r="O35" i="46"/>
  <c r="N35" i="46"/>
  <c r="AB34" i="46"/>
  <c r="AA34" i="46"/>
  <c r="Z34" i="46"/>
  <c r="X34" i="46"/>
  <c r="W34" i="46"/>
  <c r="U34" i="46"/>
  <c r="T34" i="46"/>
  <c r="AB33" i="46"/>
  <c r="Y33" i="46"/>
  <c r="V33" i="46"/>
  <c r="S33" i="46"/>
  <c r="P33" i="46"/>
  <c r="S32" i="46"/>
  <c r="R32" i="46"/>
  <c r="N32" i="46"/>
  <c r="P32" i="46" s="1"/>
  <c r="Z31" i="46"/>
  <c r="AB31" i="46" s="1"/>
  <c r="Y31" i="46"/>
  <c r="V31" i="46"/>
  <c r="R31" i="46"/>
  <c r="S31" i="46" s="1"/>
  <c r="Q31" i="46"/>
  <c r="O31" i="46"/>
  <c r="M31" i="46"/>
  <c r="M29" i="46" s="1"/>
  <c r="AB30" i="46"/>
  <c r="Z30" i="46"/>
  <c r="Y30" i="46"/>
  <c r="V30" i="46"/>
  <c r="S30" i="46"/>
  <c r="AC29" i="46"/>
  <c r="AA29" i="46"/>
  <c r="Y29" i="46"/>
  <c r="X29" i="46"/>
  <c r="W29" i="46"/>
  <c r="U29" i="46"/>
  <c r="T29" i="46"/>
  <c r="R29" i="46"/>
  <c r="Q29" i="46"/>
  <c r="Y28" i="46"/>
  <c r="Y24" i="46" s="1"/>
  <c r="V28" i="46"/>
  <c r="S28" i="46"/>
  <c r="N28" i="46"/>
  <c r="V27" i="46"/>
  <c r="S27" i="46"/>
  <c r="P27" i="46"/>
  <c r="Y26" i="46"/>
  <c r="X26" i="46"/>
  <c r="W26" i="46"/>
  <c r="U26" i="46"/>
  <c r="T26" i="46"/>
  <c r="S26" i="46"/>
  <c r="R26" i="46"/>
  <c r="Q26" i="46"/>
  <c r="Q24" i="46" s="1"/>
  <c r="M26" i="46"/>
  <c r="X24" i="46"/>
  <c r="W24" i="46"/>
  <c r="S24" i="46"/>
  <c r="R24" i="46"/>
  <c r="O24" i="46"/>
  <c r="N24" i="46"/>
  <c r="M24" i="46"/>
  <c r="L24" i="46"/>
  <c r="I24" i="46"/>
  <c r="AH23" i="46"/>
  <c r="AH20" i="46" s="1"/>
  <c r="AF23" i="46"/>
  <c r="AF20" i="46" s="1"/>
  <c r="AE23" i="46"/>
  <c r="Z23" i="46"/>
  <c r="AB23" i="46" s="1"/>
  <c r="AB20" i="46" s="1"/>
  <c r="S23" i="46"/>
  <c r="P23" i="46"/>
  <c r="AB22" i="46"/>
  <c r="Y22" i="46"/>
  <c r="Y21" i="46" s="1"/>
  <c r="S22" i="46"/>
  <c r="N22" i="46"/>
  <c r="P22" i="46" s="1"/>
  <c r="AB21" i="46"/>
  <c r="AA21" i="46"/>
  <c r="Z21" i="46"/>
  <c r="X21" i="46"/>
  <c r="X19" i="46" s="1"/>
  <c r="W21" i="46"/>
  <c r="S21" i="46"/>
  <c r="O21" i="46"/>
  <c r="O19" i="46" s="1"/>
  <c r="N21" i="46"/>
  <c r="AG20" i="46"/>
  <c r="AE20" i="46"/>
  <c r="AE19" i="46" s="1"/>
  <c r="AD20" i="46"/>
  <c r="AD19" i="46" s="1"/>
  <c r="AC20" i="46"/>
  <c r="AA20" i="46"/>
  <c r="S20" i="46"/>
  <c r="S19" i="46" s="1"/>
  <c r="P20" i="46"/>
  <c r="AG19" i="46"/>
  <c r="AC19" i="46"/>
  <c r="AA19" i="46"/>
  <c r="W19" i="46"/>
  <c r="T19" i="46"/>
  <c r="R19" i="46"/>
  <c r="Q19" i="46"/>
  <c r="M19" i="46"/>
  <c r="L19" i="46"/>
  <c r="I19" i="46"/>
  <c r="I8" i="46" s="1"/>
  <c r="S18" i="46"/>
  <c r="Q18" i="46"/>
  <c r="P18" i="46"/>
  <c r="S17" i="46"/>
  <c r="S16" i="46" s="1"/>
  <c r="P17" i="46"/>
  <c r="N17" i="46"/>
  <c r="R16" i="46"/>
  <c r="Q16" i="46"/>
  <c r="Q14" i="46" s="1"/>
  <c r="O16" i="46"/>
  <c r="M16" i="46"/>
  <c r="S15" i="46"/>
  <c r="P15" i="46"/>
  <c r="V14" i="46"/>
  <c r="T14" i="46"/>
  <c r="R14" i="46"/>
  <c r="N14" i="46"/>
  <c r="M14" i="46"/>
  <c r="L14" i="46"/>
  <c r="AH12" i="46"/>
  <c r="AG12" i="46"/>
  <c r="X12" i="46"/>
  <c r="R12" i="46"/>
  <c r="M12" i="46"/>
  <c r="W11" i="46"/>
  <c r="T11" i="46"/>
  <c r="R11" i="46"/>
  <c r="M11" i="46"/>
  <c r="M8" i="46" s="1"/>
  <c r="AH10" i="46"/>
  <c r="AG10" i="46"/>
  <c r="AF10" i="46"/>
  <c r="AE10" i="46"/>
  <c r="AD10" i="46"/>
  <c r="AC10" i="46"/>
  <c r="AB10" i="46"/>
  <c r="AA10" i="46"/>
  <c r="Z10" i="46"/>
  <c r="Y10" i="46"/>
  <c r="X10" i="46"/>
  <c r="W10" i="46"/>
  <c r="W9" i="46" s="1"/>
  <c r="V10" i="46"/>
  <c r="U10" i="46"/>
  <c r="T10" i="46"/>
  <c r="R10" i="46"/>
  <c r="Q10" i="46"/>
  <c r="P10" i="46"/>
  <c r="O10" i="46"/>
  <c r="N10" i="46"/>
  <c r="N9" i="46" s="1"/>
  <c r="M10" i="46"/>
  <c r="T9" i="46"/>
  <c r="L8" i="46"/>
  <c r="K8" i="46"/>
  <c r="J8" i="46"/>
  <c r="G8" i="46"/>
  <c r="F8" i="46"/>
  <c r="E8" i="46"/>
  <c r="AG70" i="45"/>
  <c r="AG69" i="45" s="1"/>
  <c r="AF70" i="45"/>
  <c r="AF69" i="45" s="1"/>
  <c r="AH73" i="45"/>
  <c r="AH70" i="45" s="1"/>
  <c r="AH69" i="45" s="1"/>
  <c r="AD73" i="45"/>
  <c r="AA71" i="45"/>
  <c r="AB72" i="45"/>
  <c r="AB71" i="45" s="1"/>
  <c r="AA66" i="45"/>
  <c r="AB67" i="45"/>
  <c r="AB66" i="45" s="1"/>
  <c r="AA68" i="45"/>
  <c r="AB68" i="45" s="1"/>
  <c r="AB65" i="45" s="1"/>
  <c r="AB64" i="45" s="1"/>
  <c r="AA73" i="45"/>
  <c r="AA70" i="45" s="1"/>
  <c r="X72" i="45"/>
  <c r="X71" i="45" s="1"/>
  <c r="W72" i="45"/>
  <c r="AG65" i="45"/>
  <c r="AG64" i="45" s="1"/>
  <c r="AH65" i="45"/>
  <c r="AH64" i="45" s="1"/>
  <c r="AF65" i="45"/>
  <c r="AF64" i="45" s="1"/>
  <c r="AH68" i="45"/>
  <c r="AD68" i="45"/>
  <c r="AH170" i="45"/>
  <c r="AE170" i="45"/>
  <c r="AB170" i="45"/>
  <c r="Y170" i="45"/>
  <c r="V170" i="45"/>
  <c r="S170" i="45"/>
  <c r="Q170" i="45"/>
  <c r="P170" i="45"/>
  <c r="AH169" i="45"/>
  <c r="AE169" i="45"/>
  <c r="AB169" i="45"/>
  <c r="Y169" i="45"/>
  <c r="Q169" i="45"/>
  <c r="S169" i="45" s="1"/>
  <c r="S10" i="45" s="1"/>
  <c r="P169" i="45"/>
  <c r="V168" i="45"/>
  <c r="S167" i="45"/>
  <c r="S165" i="45" s="1"/>
  <c r="S164" i="45" s="1"/>
  <c r="V165" i="45"/>
  <c r="V164" i="45" s="1"/>
  <c r="U165" i="45"/>
  <c r="R165" i="45"/>
  <c r="R164" i="45" s="1"/>
  <c r="U164" i="45"/>
  <c r="V163" i="45"/>
  <c r="V160" i="45" s="1"/>
  <c r="V159" i="45" s="1"/>
  <c r="S162" i="45"/>
  <c r="S160" i="45" s="1"/>
  <c r="S159" i="45" s="1"/>
  <c r="AI159" i="45" s="1"/>
  <c r="U160" i="45"/>
  <c r="U159" i="45" s="1"/>
  <c r="R160" i="45"/>
  <c r="R159" i="45" s="1"/>
  <c r="V158" i="45"/>
  <c r="V155" i="45" s="1"/>
  <c r="S157" i="45"/>
  <c r="S155" i="45" s="1"/>
  <c r="S154" i="45" s="1"/>
  <c r="U155" i="45"/>
  <c r="R155" i="45"/>
  <c r="U154" i="45"/>
  <c r="R154" i="45"/>
  <c r="V153" i="45"/>
  <c r="S152" i="45"/>
  <c r="S150" i="45" s="1"/>
  <c r="V150" i="45"/>
  <c r="V149" i="45" s="1"/>
  <c r="U150" i="45"/>
  <c r="U149" i="45" s="1"/>
  <c r="R150" i="45"/>
  <c r="R149" i="45" s="1"/>
  <c r="V148" i="45"/>
  <c r="V145" i="45" s="1"/>
  <c r="V144" i="45" s="1"/>
  <c r="S147" i="45"/>
  <c r="S145" i="45" s="1"/>
  <c r="S144" i="45" s="1"/>
  <c r="U145" i="45"/>
  <c r="R145" i="45"/>
  <c r="R144" i="45" s="1"/>
  <c r="U144" i="45"/>
  <c r="AH143" i="45"/>
  <c r="AE143" i="45"/>
  <c r="AE140" i="45" s="1"/>
  <c r="AA142" i="45"/>
  <c r="AB142" i="45" s="1"/>
  <c r="AB141" i="45" s="1"/>
  <c r="AB139" i="45" s="1"/>
  <c r="AC139" i="45" s="1"/>
  <c r="Y142" i="45"/>
  <c r="Z141" i="45"/>
  <c r="Y141" i="45"/>
  <c r="Y139" i="45" s="1"/>
  <c r="X141" i="45"/>
  <c r="X139" i="45" s="1"/>
  <c r="W141" i="45"/>
  <c r="AH140" i="45"/>
  <c r="AH139" i="45" s="1"/>
  <c r="AG140" i="45"/>
  <c r="AG139" i="45" s="1"/>
  <c r="AF140" i="45"/>
  <c r="AF139" i="45" s="1"/>
  <c r="AD140" i="45"/>
  <c r="AD139" i="45" s="1"/>
  <c r="AC140" i="45"/>
  <c r="AE139" i="45"/>
  <c r="Z139" i="45"/>
  <c r="W139" i="45"/>
  <c r="AH138" i="45"/>
  <c r="AE138" i="45"/>
  <c r="AA137" i="45"/>
  <c r="AB137" i="45" s="1"/>
  <c r="AB136" i="45" s="1"/>
  <c r="AB134" i="45" s="1"/>
  <c r="Y137" i="45"/>
  <c r="Y136" i="45" s="1"/>
  <c r="Y134" i="45" s="1"/>
  <c r="Z136" i="45"/>
  <c r="X136" i="45"/>
  <c r="W136" i="45"/>
  <c r="W134" i="45" s="1"/>
  <c r="AH135" i="45"/>
  <c r="AH134" i="45" s="1"/>
  <c r="AG135" i="45"/>
  <c r="AF135" i="45"/>
  <c r="AE135" i="45"/>
  <c r="AE134" i="45" s="1"/>
  <c r="AD135" i="45"/>
  <c r="AD134" i="45" s="1"/>
  <c r="AC135" i="45"/>
  <c r="AC134" i="45" s="1"/>
  <c r="AG134" i="45"/>
  <c r="AF134" i="45"/>
  <c r="Z134" i="45"/>
  <c r="X134" i="45"/>
  <c r="AG133" i="45"/>
  <c r="AH133" i="45" s="1"/>
  <c r="AH130" i="45" s="1"/>
  <c r="AH129" i="45" s="1"/>
  <c r="AE133" i="45"/>
  <c r="AE130" i="45" s="1"/>
  <c r="AB133" i="45"/>
  <c r="AB130" i="45" s="1"/>
  <c r="AE132" i="45"/>
  <c r="AE131" i="45" s="1"/>
  <c r="AD132" i="45"/>
  <c r="AB132" i="45"/>
  <c r="AB131" i="45" s="1"/>
  <c r="AD131" i="45"/>
  <c r="AC131" i="45"/>
  <c r="AA131" i="45"/>
  <c r="AA129" i="45" s="1"/>
  <c r="AG130" i="45"/>
  <c r="AG129" i="45" s="1"/>
  <c r="AF130" i="45"/>
  <c r="AD130" i="45"/>
  <c r="AD129" i="45" s="1"/>
  <c r="AC130" i="45"/>
  <c r="AC129" i="45" s="1"/>
  <c r="AA130" i="45"/>
  <c r="Z130" i="45"/>
  <c r="Z129" i="45" s="1"/>
  <c r="AF129" i="45"/>
  <c r="Y129" i="45"/>
  <c r="S129" i="45"/>
  <c r="P129" i="45"/>
  <c r="AG128" i="45"/>
  <c r="AH128" i="45" s="1"/>
  <c r="AH125" i="45" s="1"/>
  <c r="AH124" i="45" s="1"/>
  <c r="AE128" i="45"/>
  <c r="AE125" i="45" s="1"/>
  <c r="AE124" i="45" s="1"/>
  <c r="AB128" i="45"/>
  <c r="AB125" i="45" s="1"/>
  <c r="AB124" i="45" s="1"/>
  <c r="Y128" i="45"/>
  <c r="Y125" i="45" s="1"/>
  <c r="AA127" i="45"/>
  <c r="AB127" i="45" s="1"/>
  <c r="AB126" i="45" s="1"/>
  <c r="Y127" i="45"/>
  <c r="Y126" i="45" s="1"/>
  <c r="Z126" i="45"/>
  <c r="Z124" i="45" s="1"/>
  <c r="X126" i="45"/>
  <c r="W126" i="45"/>
  <c r="AG125" i="45"/>
  <c r="AG124" i="45" s="1"/>
  <c r="AF125" i="45"/>
  <c r="AD125" i="45"/>
  <c r="AC125" i="45"/>
  <c r="AC124" i="45" s="1"/>
  <c r="AA125" i="45"/>
  <c r="Z125" i="45"/>
  <c r="X125" i="45"/>
  <c r="W125" i="45"/>
  <c r="W124" i="45" s="1"/>
  <c r="AF124" i="45"/>
  <c r="AD124" i="45"/>
  <c r="X124" i="45"/>
  <c r="S124" i="45"/>
  <c r="P124" i="45"/>
  <c r="S123" i="45"/>
  <c r="S122" i="45"/>
  <c r="R121" i="45"/>
  <c r="R119" i="45" s="1"/>
  <c r="Q121" i="45"/>
  <c r="Q119" i="45" s="1"/>
  <c r="S118" i="45"/>
  <c r="S117" i="45"/>
  <c r="S116" i="45"/>
  <c r="S114" i="45" s="1"/>
  <c r="R116" i="45"/>
  <c r="Q116" i="45"/>
  <c r="R114" i="45"/>
  <c r="Q114" i="45"/>
  <c r="S113" i="45"/>
  <c r="S112" i="45"/>
  <c r="S111" i="45"/>
  <c r="S109" i="45" s="1"/>
  <c r="R111" i="45"/>
  <c r="R109" i="45" s="1"/>
  <c r="Q111" i="45"/>
  <c r="Q109" i="45"/>
  <c r="S108" i="45"/>
  <c r="N108" i="45"/>
  <c r="P108" i="45" s="1"/>
  <c r="S107" i="45"/>
  <c r="N107" i="45"/>
  <c r="P107" i="45" s="1"/>
  <c r="S106" i="45"/>
  <c r="R106" i="45"/>
  <c r="Q106" i="45"/>
  <c r="O106" i="45"/>
  <c r="P105" i="45"/>
  <c r="P104" i="45"/>
  <c r="O103" i="45"/>
  <c r="N103" i="45"/>
  <c r="P102" i="45"/>
  <c r="P101" i="45"/>
  <c r="O100" i="45"/>
  <c r="N100" i="45"/>
  <c r="P99" i="45"/>
  <c r="P98" i="45"/>
  <c r="O97" i="45"/>
  <c r="N97" i="45"/>
  <c r="V96" i="45"/>
  <c r="S96" i="45"/>
  <c r="P96" i="45"/>
  <c r="P94" i="45" s="1"/>
  <c r="S95" i="45"/>
  <c r="V94" i="45"/>
  <c r="U94" i="45"/>
  <c r="T94" i="45"/>
  <c r="Q94" i="45"/>
  <c r="S94" i="45" s="1"/>
  <c r="O94" i="45"/>
  <c r="N94" i="45"/>
  <c r="M94" i="45"/>
  <c r="AI94" i="45" s="1"/>
  <c r="AF93" i="45"/>
  <c r="AH93" i="45" s="1"/>
  <c r="AH90" i="45" s="1"/>
  <c r="AH89" i="45" s="1"/>
  <c r="AE93" i="45"/>
  <c r="AB93" i="45"/>
  <c r="AB90" i="45" s="1"/>
  <c r="AB89" i="45" s="1"/>
  <c r="Y93" i="45"/>
  <c r="Y90" i="45" s="1"/>
  <c r="Y89" i="45" s="1"/>
  <c r="S93" i="45"/>
  <c r="P93" i="45"/>
  <c r="Y92" i="45"/>
  <c r="Y91" i="45" s="1"/>
  <c r="S92" i="45"/>
  <c r="X91" i="45"/>
  <c r="W91" i="45"/>
  <c r="S91" i="45"/>
  <c r="AG90" i="45"/>
  <c r="AE90" i="45"/>
  <c r="AE89" i="45" s="1"/>
  <c r="AD90" i="45"/>
  <c r="AD89" i="45" s="1"/>
  <c r="AC90" i="45"/>
  <c r="AA90" i="45"/>
  <c r="AA89" i="45" s="1"/>
  <c r="Z90" i="45"/>
  <c r="Z89" i="45" s="1"/>
  <c r="X90" i="45"/>
  <c r="W90" i="45"/>
  <c r="S90" i="45"/>
  <c r="P90" i="45"/>
  <c r="AG89" i="45"/>
  <c r="AC89" i="45"/>
  <c r="X89" i="45"/>
  <c r="T89" i="45"/>
  <c r="S89" i="45"/>
  <c r="Q89" i="45"/>
  <c r="P89" i="45"/>
  <c r="O89" i="45"/>
  <c r="N89" i="45"/>
  <c r="M89" i="45"/>
  <c r="I89" i="45"/>
  <c r="AH88" i="45"/>
  <c r="AE88" i="45"/>
  <c r="AE85" i="45" s="1"/>
  <c r="S88" i="45"/>
  <c r="P88" i="45"/>
  <c r="AE87" i="45"/>
  <c r="AB87" i="45"/>
  <c r="AB86" i="45" s="1"/>
  <c r="AB84" i="45" s="1"/>
  <c r="Z87" i="45"/>
  <c r="W87" i="45"/>
  <c r="Y87" i="45" s="1"/>
  <c r="Y86" i="45" s="1"/>
  <c r="Y84" i="45" s="1"/>
  <c r="S87" i="45"/>
  <c r="S86" i="45" s="1"/>
  <c r="Q87" i="45"/>
  <c r="N87" i="45"/>
  <c r="P87" i="45" s="1"/>
  <c r="AE86" i="45"/>
  <c r="AD86" i="45"/>
  <c r="AC86" i="45"/>
  <c r="AA86" i="45"/>
  <c r="AA84" i="45" s="1"/>
  <c r="Z86" i="45"/>
  <c r="Z84" i="45" s="1"/>
  <c r="X86" i="45"/>
  <c r="X84" i="45" s="1"/>
  <c r="R86" i="45"/>
  <c r="R84" i="45" s="1"/>
  <c r="Q86" i="45"/>
  <c r="Q84" i="45" s="1"/>
  <c r="O86" i="45"/>
  <c r="M86" i="45"/>
  <c r="M84" i="45" s="1"/>
  <c r="AH85" i="45"/>
  <c r="AH84" i="45" s="1"/>
  <c r="AG85" i="45"/>
  <c r="AG84" i="45" s="1"/>
  <c r="AF85" i="45"/>
  <c r="AD85" i="45"/>
  <c r="AC85" i="45"/>
  <c r="AC84" i="45" s="1"/>
  <c r="S85" i="45"/>
  <c r="AF84" i="45"/>
  <c r="AD84" i="45"/>
  <c r="V84" i="45"/>
  <c r="U84" i="45"/>
  <c r="T84" i="45"/>
  <c r="O84" i="45"/>
  <c r="AH83" i="45"/>
  <c r="AH80" i="45" s="1"/>
  <c r="AH79" i="45" s="1"/>
  <c r="AE83" i="45"/>
  <c r="S83" i="45"/>
  <c r="P83" i="45"/>
  <c r="AE82" i="45"/>
  <c r="AE81" i="45" s="1"/>
  <c r="AB82" i="45"/>
  <c r="AB81" i="45" s="1"/>
  <c r="AB79" i="45" s="1"/>
  <c r="Y82" i="45"/>
  <c r="Q82" i="45"/>
  <c r="S82" i="45" s="1"/>
  <c r="S81" i="45" s="1"/>
  <c r="N82" i="45"/>
  <c r="P82" i="45" s="1"/>
  <c r="AF81" i="45"/>
  <c r="AD81" i="45"/>
  <c r="AD79" i="45" s="1"/>
  <c r="AC81" i="45"/>
  <c r="AC79" i="45" s="1"/>
  <c r="AA81" i="45"/>
  <c r="Z81" i="45"/>
  <c r="Z79" i="45" s="1"/>
  <c r="Y81" i="45"/>
  <c r="Y79" i="45" s="1"/>
  <c r="X81" i="45"/>
  <c r="X79" i="45" s="1"/>
  <c r="W81" i="45"/>
  <c r="R81" i="45"/>
  <c r="R79" i="45" s="1"/>
  <c r="Q81" i="45"/>
  <c r="O81" i="45"/>
  <c r="O79" i="45" s="1"/>
  <c r="AG80" i="45"/>
  <c r="AF80" i="45"/>
  <c r="AE80" i="45"/>
  <c r="AD80" i="45"/>
  <c r="AC80" i="45"/>
  <c r="S80" i="45"/>
  <c r="S79" i="45" s="1"/>
  <c r="P80" i="45"/>
  <c r="AG79" i="45"/>
  <c r="AF79" i="45"/>
  <c r="AA79" i="45"/>
  <c r="W79" i="45"/>
  <c r="V79" i="45"/>
  <c r="U79" i="45"/>
  <c r="T79" i="45"/>
  <c r="Q79" i="45"/>
  <c r="M79" i="45"/>
  <c r="I79" i="45"/>
  <c r="Z78" i="45"/>
  <c r="AB78" i="45" s="1"/>
  <c r="AB75" i="45" s="1"/>
  <c r="AB74" i="45" s="1"/>
  <c r="Y78" i="45"/>
  <c r="Y75" i="45" s="1"/>
  <c r="S78" i="45"/>
  <c r="P78" i="45"/>
  <c r="V77" i="45"/>
  <c r="S77" i="45"/>
  <c r="P77" i="45"/>
  <c r="P76" i="45" s="1"/>
  <c r="P74" i="45" s="1"/>
  <c r="N77" i="45"/>
  <c r="U76" i="45"/>
  <c r="T76" i="45"/>
  <c r="V76" i="45" s="1"/>
  <c r="R76" i="45"/>
  <c r="R74" i="45" s="1"/>
  <c r="Q76" i="45"/>
  <c r="O76" i="45"/>
  <c r="O74" i="45" s="1"/>
  <c r="N76" i="45"/>
  <c r="N74" i="45" s="1"/>
  <c r="AA75" i="45"/>
  <c r="AA74" i="45" s="1"/>
  <c r="Z75" i="45"/>
  <c r="X75" i="45"/>
  <c r="W75" i="45"/>
  <c r="W74" i="45" s="1"/>
  <c r="S75" i="45"/>
  <c r="P75" i="45"/>
  <c r="Z74" i="45"/>
  <c r="X74" i="45"/>
  <c r="U74" i="45"/>
  <c r="Q74" i="45"/>
  <c r="M74" i="45"/>
  <c r="AE73" i="45"/>
  <c r="AE70" i="45" s="1"/>
  <c r="AE69" i="45" s="1"/>
  <c r="W71" i="45"/>
  <c r="AD70" i="45"/>
  <c r="AD69" i="45" s="1"/>
  <c r="AC70" i="45"/>
  <c r="AC69" i="45" s="1"/>
  <c r="Z70" i="45"/>
  <c r="Z69" i="45" s="1"/>
  <c r="W69" i="45"/>
  <c r="AE68" i="45"/>
  <c r="Y67" i="45"/>
  <c r="Y66" i="45" s="1"/>
  <c r="Y64" i="45" s="1"/>
  <c r="S67" i="45"/>
  <c r="X66" i="45"/>
  <c r="X64" i="45" s="1"/>
  <c r="W66" i="45"/>
  <c r="S66" i="45"/>
  <c r="S64" i="45" s="1"/>
  <c r="R66" i="45"/>
  <c r="R64" i="45" s="1"/>
  <c r="Q66" i="45"/>
  <c r="Q64" i="45" s="1"/>
  <c r="AE65" i="45"/>
  <c r="AD65" i="45"/>
  <c r="AD64" i="45" s="1"/>
  <c r="AC65" i="45"/>
  <c r="Z65" i="45"/>
  <c r="Z64" i="45" s="1"/>
  <c r="AE64" i="45"/>
  <c r="AC64" i="45"/>
  <c r="V63" i="45"/>
  <c r="S63" i="45"/>
  <c r="S62" i="45"/>
  <c r="S61" i="45" s="1"/>
  <c r="R61" i="45"/>
  <c r="V60" i="45"/>
  <c r="V59" i="45" s="1"/>
  <c r="U60" i="45"/>
  <c r="U59" i="45" s="1"/>
  <c r="S60" i="45"/>
  <c r="AF59" i="45"/>
  <c r="AC59" i="45"/>
  <c r="Z59" i="45"/>
  <c r="W59" i="45"/>
  <c r="T59" i="45"/>
  <c r="R59" i="45"/>
  <c r="S59" i="45" s="1"/>
  <c r="AB58" i="45"/>
  <c r="Y58" i="45"/>
  <c r="Y55" i="45" s="1"/>
  <c r="Y54" i="45" s="1"/>
  <c r="AB57" i="45"/>
  <c r="AB56" i="45" s="1"/>
  <c r="AB54" i="45" s="1"/>
  <c r="V57" i="45"/>
  <c r="AA56" i="45"/>
  <c r="Z56" i="45"/>
  <c r="V56" i="45"/>
  <c r="V54" i="45" s="1"/>
  <c r="Q56" i="45"/>
  <c r="S56" i="45" s="1"/>
  <c r="AB55" i="45"/>
  <c r="AA55" i="45"/>
  <c r="AA54" i="45" s="1"/>
  <c r="Z55" i="45"/>
  <c r="X55" i="45"/>
  <c r="W55" i="45"/>
  <c r="S55" i="45"/>
  <c r="X54" i="45"/>
  <c r="W54" i="45"/>
  <c r="U54" i="45"/>
  <c r="T54" i="45"/>
  <c r="Q54" i="45"/>
  <c r="L54" i="45" s="1"/>
  <c r="I54" i="45"/>
  <c r="AB53" i="45"/>
  <c r="AB51" i="45" s="1"/>
  <c r="Y53" i="45"/>
  <c r="V52" i="45"/>
  <c r="V51" i="45" s="1"/>
  <c r="V49" i="45" s="1"/>
  <c r="AA51" i="45"/>
  <c r="AA49" i="45" s="1"/>
  <c r="Z51" i="45"/>
  <c r="Y51" i="45"/>
  <c r="Y49" i="45" s="1"/>
  <c r="X51" i="45"/>
  <c r="X49" i="45" s="1"/>
  <c r="W51" i="45"/>
  <c r="W49" i="45" s="1"/>
  <c r="U51" i="45"/>
  <c r="U49" i="45" s="1"/>
  <c r="T51" i="45"/>
  <c r="T49" i="45" s="1"/>
  <c r="Z49" i="45"/>
  <c r="AH48" i="45"/>
  <c r="AE48" i="45"/>
  <c r="AE45" i="45" s="1"/>
  <c r="AE44" i="45" s="1"/>
  <c r="S48" i="45"/>
  <c r="AB47" i="45"/>
  <c r="Y47" i="45"/>
  <c r="S47" i="45"/>
  <c r="AB46" i="45"/>
  <c r="AA46" i="45"/>
  <c r="AA44" i="45" s="1"/>
  <c r="Z46" i="45"/>
  <c r="Z44" i="45" s="1"/>
  <c r="Y46" i="45"/>
  <c r="Y44" i="45" s="1"/>
  <c r="X46" i="45"/>
  <c r="W46" i="45"/>
  <c r="W44" i="45" s="1"/>
  <c r="S46" i="45"/>
  <c r="AH45" i="45"/>
  <c r="AH44" i="45" s="1"/>
  <c r="AG45" i="45"/>
  <c r="AF45" i="45"/>
  <c r="AD45" i="45"/>
  <c r="AD44" i="45" s="1"/>
  <c r="AC45" i="45"/>
  <c r="S45" i="45"/>
  <c r="AG44" i="45"/>
  <c r="AF44" i="45"/>
  <c r="AC44" i="45"/>
  <c r="AB44" i="45"/>
  <c r="X44" i="45"/>
  <c r="T44" i="45"/>
  <c r="Q44" i="45"/>
  <c r="S44" i="45" s="1"/>
  <c r="I44" i="45"/>
  <c r="AE43" i="45"/>
  <c r="Z43" i="45"/>
  <c r="AB43" i="45" s="1"/>
  <c r="Y43" i="45"/>
  <c r="V43" i="45"/>
  <c r="S43" i="45"/>
  <c r="S42" i="45"/>
  <c r="N42" i="45"/>
  <c r="P42" i="45" s="1"/>
  <c r="P41" i="45" s="1"/>
  <c r="P39" i="45" s="1"/>
  <c r="S41" i="45"/>
  <c r="O41" i="45"/>
  <c r="N41" i="45"/>
  <c r="M41" i="45"/>
  <c r="M39" i="45" s="1"/>
  <c r="AE40" i="45"/>
  <c r="Z40" i="45"/>
  <c r="AB40" i="45" s="1"/>
  <c r="AB39" i="45" s="1"/>
  <c r="Y40" i="45"/>
  <c r="Y39" i="45" s="1"/>
  <c r="V40" i="45"/>
  <c r="V39" i="45" s="1"/>
  <c r="S40" i="45"/>
  <c r="P40" i="45"/>
  <c r="AE39" i="45"/>
  <c r="AD39" i="45"/>
  <c r="AC39" i="45"/>
  <c r="AA39" i="45"/>
  <c r="Z39" i="45"/>
  <c r="X39" i="45"/>
  <c r="W39" i="45"/>
  <c r="U39" i="45"/>
  <c r="T39" i="45"/>
  <c r="R39" i="45"/>
  <c r="Q39" i="45"/>
  <c r="S39" i="45" s="1"/>
  <c r="O39" i="45"/>
  <c r="N39" i="45"/>
  <c r="AB38" i="45"/>
  <c r="Y38" i="45"/>
  <c r="S38" i="45"/>
  <c r="P38" i="45"/>
  <c r="P35" i="45" s="1"/>
  <c r="S37" i="45"/>
  <c r="Q37" i="45"/>
  <c r="Q36" i="45" s="1"/>
  <c r="N37" i="45"/>
  <c r="P37" i="45" s="1"/>
  <c r="P36" i="45" s="1"/>
  <c r="S36" i="45"/>
  <c r="S34" i="45" s="1"/>
  <c r="R36" i="45"/>
  <c r="O36" i="45"/>
  <c r="N36" i="45"/>
  <c r="AB35" i="45"/>
  <c r="AB34" i="45" s="1"/>
  <c r="Y35" i="45"/>
  <c r="V35" i="45"/>
  <c r="V34" i="45" s="1"/>
  <c r="S35" i="45"/>
  <c r="R35" i="45"/>
  <c r="Q35" i="45"/>
  <c r="O35" i="45"/>
  <c r="O34" i="45" s="1"/>
  <c r="N35" i="45"/>
  <c r="AA34" i="45"/>
  <c r="Z34" i="45"/>
  <c r="Y34" i="45"/>
  <c r="X34" i="45"/>
  <c r="W34" i="45"/>
  <c r="U34" i="45"/>
  <c r="T34" i="45"/>
  <c r="AB33" i="45"/>
  <c r="Y33" i="45"/>
  <c r="V33" i="45"/>
  <c r="S33" i="45"/>
  <c r="O33" i="45"/>
  <c r="P33" i="45" s="1"/>
  <c r="S32" i="45"/>
  <c r="R32" i="45"/>
  <c r="N32" i="45"/>
  <c r="P32" i="45" s="1"/>
  <c r="Z31" i="45"/>
  <c r="AB31" i="45" s="1"/>
  <c r="Y31" i="45"/>
  <c r="V31" i="45"/>
  <c r="R31" i="45"/>
  <c r="R29" i="45" s="1"/>
  <c r="Q31" i="45"/>
  <c r="S31" i="45" s="1"/>
  <c r="O31" i="45"/>
  <c r="M31" i="45"/>
  <c r="Z30" i="45"/>
  <c r="AB30" i="45" s="1"/>
  <c r="Y30" i="45"/>
  <c r="Y29" i="45" s="1"/>
  <c r="V30" i="45"/>
  <c r="S30" i="45"/>
  <c r="AC29" i="45"/>
  <c r="AA29" i="45"/>
  <c r="X29" i="45"/>
  <c r="W29" i="45"/>
  <c r="U29" i="45"/>
  <c r="T29" i="45"/>
  <c r="Q29" i="45"/>
  <c r="M29" i="45"/>
  <c r="Y28" i="45"/>
  <c r="V28" i="45"/>
  <c r="S28" i="45"/>
  <c r="S26" i="45" s="1"/>
  <c r="S24" i="45" s="1"/>
  <c r="N28" i="45"/>
  <c r="P28" i="45" s="1"/>
  <c r="V27" i="45"/>
  <c r="S27" i="45"/>
  <c r="P27" i="45"/>
  <c r="Y26" i="45"/>
  <c r="X26" i="45"/>
  <c r="W26" i="45"/>
  <c r="V26" i="45"/>
  <c r="V24" i="45" s="1"/>
  <c r="U26" i="45"/>
  <c r="U24" i="45" s="1"/>
  <c r="T26" i="45"/>
  <c r="R26" i="45"/>
  <c r="R24" i="45" s="1"/>
  <c r="Q26" i="45"/>
  <c r="Q24" i="45" s="1"/>
  <c r="M26" i="45"/>
  <c r="Y24" i="45"/>
  <c r="X24" i="45"/>
  <c r="W24" i="45"/>
  <c r="T24" i="45"/>
  <c r="O24" i="45"/>
  <c r="N24" i="45"/>
  <c r="M24" i="45"/>
  <c r="L24" i="45"/>
  <c r="I24" i="45"/>
  <c r="AH23" i="45"/>
  <c r="AF23" i="45"/>
  <c r="AE23" i="45"/>
  <c r="AE20" i="45" s="1"/>
  <c r="Z23" i="45"/>
  <c r="AB23" i="45" s="1"/>
  <c r="AB20" i="45" s="1"/>
  <c r="S23" i="45"/>
  <c r="P23" i="45"/>
  <c r="AB22" i="45"/>
  <c r="Y22" i="45"/>
  <c r="Y21" i="45" s="1"/>
  <c r="S22" i="45"/>
  <c r="N22" i="45"/>
  <c r="P22" i="45" s="1"/>
  <c r="AB21" i="45"/>
  <c r="AA21" i="45"/>
  <c r="Z21" i="45"/>
  <c r="X21" i="45"/>
  <c r="W21" i="45"/>
  <c r="W19" i="45" s="1"/>
  <c r="S21" i="45"/>
  <c r="S19" i="45" s="1"/>
  <c r="O21" i="45"/>
  <c r="O19" i="45" s="1"/>
  <c r="N21" i="45"/>
  <c r="P21" i="45" s="1"/>
  <c r="AH20" i="45"/>
  <c r="AH19" i="45" s="1"/>
  <c r="AG20" i="45"/>
  <c r="AG19" i="45" s="1"/>
  <c r="AF20" i="45"/>
  <c r="AD20" i="45"/>
  <c r="AC20" i="45"/>
  <c r="AC19" i="45" s="1"/>
  <c r="AA20" i="45"/>
  <c r="AA19" i="45" s="1"/>
  <c r="S20" i="45"/>
  <c r="P20" i="45"/>
  <c r="AF19" i="45"/>
  <c r="AD19" i="45"/>
  <c r="X19" i="45"/>
  <c r="T19" i="45"/>
  <c r="R19" i="45"/>
  <c r="Q19" i="45"/>
  <c r="N19" i="45"/>
  <c r="M19" i="45"/>
  <c r="L19" i="45"/>
  <c r="I19" i="45"/>
  <c r="S18" i="45"/>
  <c r="Q18" i="45"/>
  <c r="P18" i="45"/>
  <c r="S17" i="45"/>
  <c r="S16" i="45" s="1"/>
  <c r="S14" i="45" s="1"/>
  <c r="P17" i="45"/>
  <c r="N17" i="45"/>
  <c r="R16" i="45"/>
  <c r="R14" i="45" s="1"/>
  <c r="Q16" i="45"/>
  <c r="O16" i="45"/>
  <c r="O14" i="45" s="1"/>
  <c r="M16" i="45"/>
  <c r="M14" i="45" s="1"/>
  <c r="S15" i="45"/>
  <c r="P15" i="45"/>
  <c r="T14" i="45"/>
  <c r="V14" i="45" s="1"/>
  <c r="Q14" i="45"/>
  <c r="P14" i="45"/>
  <c r="N14" i="45"/>
  <c r="L14" i="45"/>
  <c r="L8" i="45" s="1"/>
  <c r="AH12" i="45"/>
  <c r="AG12" i="45"/>
  <c r="AF12" i="45"/>
  <c r="AD12" i="45"/>
  <c r="AC12" i="45"/>
  <c r="U12" i="45"/>
  <c r="T12" i="45"/>
  <c r="O12" i="45"/>
  <c r="AG11" i="45"/>
  <c r="AG8" i="45" s="1"/>
  <c r="X11" i="45"/>
  <c r="W11" i="45"/>
  <c r="U11" i="45"/>
  <c r="U8" i="45" s="1"/>
  <c r="T11" i="45"/>
  <c r="R11" i="45"/>
  <c r="Q11" i="45"/>
  <c r="N11" i="45"/>
  <c r="N9" i="45" s="1"/>
  <c r="M11" i="45"/>
  <c r="AH10" i="45"/>
  <c r="AG10" i="45"/>
  <c r="AF10" i="45"/>
  <c r="AE10" i="45"/>
  <c r="AD10" i="45"/>
  <c r="AC10" i="45"/>
  <c r="AB10" i="45"/>
  <c r="AA10" i="45"/>
  <c r="Z10" i="45"/>
  <c r="Y10" i="45"/>
  <c r="X10" i="45"/>
  <c r="X9" i="45" s="1"/>
  <c r="W10" i="45"/>
  <c r="V10" i="45"/>
  <c r="U10" i="45"/>
  <c r="T10" i="45"/>
  <c r="T9" i="45" s="1"/>
  <c r="R10" i="45"/>
  <c r="Q10" i="45"/>
  <c r="P10" i="45"/>
  <c r="O10" i="45"/>
  <c r="N10" i="45"/>
  <c r="M10" i="45"/>
  <c r="M9" i="45" s="1"/>
  <c r="U9" i="45"/>
  <c r="R9" i="45"/>
  <c r="Q9" i="45"/>
  <c r="T8" i="45"/>
  <c r="K8" i="45"/>
  <c r="J8" i="45"/>
  <c r="I8" i="45"/>
  <c r="G8" i="45"/>
  <c r="F8" i="45"/>
  <c r="E8" i="45"/>
  <c r="I89" i="44"/>
  <c r="P34" i="45" l="1"/>
  <c r="AI24" i="45"/>
  <c r="R12" i="45"/>
  <c r="R8" i="45" s="1"/>
  <c r="S29" i="45"/>
  <c r="N34" i="45"/>
  <c r="AI44" i="45"/>
  <c r="S54" i="45"/>
  <c r="Z54" i="45"/>
  <c r="P86" i="45"/>
  <c r="P84" i="45" s="1"/>
  <c r="AF132" i="45"/>
  <c r="U24" i="46"/>
  <c r="U12" i="46"/>
  <c r="S29" i="46"/>
  <c r="AB29" i="46"/>
  <c r="W9" i="45"/>
  <c r="AC11" i="45"/>
  <c r="AC8" i="45" s="1"/>
  <c r="Z20" i="45"/>
  <c r="Z19" i="45" s="1"/>
  <c r="Z12" i="45"/>
  <c r="V29" i="45"/>
  <c r="T74" i="45"/>
  <c r="W86" i="45"/>
  <c r="W84" i="45" s="1"/>
  <c r="AE84" i="45"/>
  <c r="S121" i="45"/>
  <c r="S119" i="45" s="1"/>
  <c r="AI64" i="45"/>
  <c r="AC137" i="45"/>
  <c r="X54" i="46"/>
  <c r="X11" i="46"/>
  <c r="X9" i="46" s="1"/>
  <c r="Q74" i="46"/>
  <c r="S74" i="46" s="1"/>
  <c r="S76" i="46"/>
  <c r="R34" i="45"/>
  <c r="AI54" i="45"/>
  <c r="S12" i="45"/>
  <c r="AI59" i="45"/>
  <c r="S76" i="45"/>
  <c r="AI79" i="45"/>
  <c r="AE79" i="45"/>
  <c r="N81" i="45"/>
  <c r="P81" i="45" s="1"/>
  <c r="P79" i="45" s="1"/>
  <c r="P97" i="45"/>
  <c r="P100" i="45"/>
  <c r="P103" i="45"/>
  <c r="Y124" i="45"/>
  <c r="AB129" i="45"/>
  <c r="M9" i="46"/>
  <c r="V26" i="46"/>
  <c r="V24" i="46" s="1"/>
  <c r="AI24" i="46" s="1"/>
  <c r="AB29" i="45"/>
  <c r="S74" i="45"/>
  <c r="S84" i="45"/>
  <c r="P21" i="46"/>
  <c r="P19" i="46" s="1"/>
  <c r="N19" i="46"/>
  <c r="AF11" i="46"/>
  <c r="AF19" i="46"/>
  <c r="T24" i="46"/>
  <c r="T12" i="46"/>
  <c r="T8" i="46" s="1"/>
  <c r="P26" i="46"/>
  <c r="P24" i="46" s="1"/>
  <c r="P28" i="46"/>
  <c r="AB78" i="46"/>
  <c r="AB75" i="46" s="1"/>
  <c r="AB74" i="46" s="1"/>
  <c r="Z75" i="46"/>
  <c r="Z74" i="46" s="1"/>
  <c r="S164" i="46"/>
  <c r="AI164" i="46" s="1"/>
  <c r="AC12" i="46"/>
  <c r="V29" i="46"/>
  <c r="P34" i="46"/>
  <c r="AI64" i="46"/>
  <c r="AB64" i="46"/>
  <c r="AB69" i="46"/>
  <c r="V76" i="46"/>
  <c r="V74" i="46" s="1"/>
  <c r="AD84" i="46"/>
  <c r="S121" i="46"/>
  <c r="S119" i="46" s="1"/>
  <c r="AH128" i="46"/>
  <c r="AH125" i="46" s="1"/>
  <c r="AH124" i="46" s="1"/>
  <c r="AA129" i="46"/>
  <c r="AA136" i="46"/>
  <c r="AA134" i="46" s="1"/>
  <c r="S166" i="46"/>
  <c r="X12" i="47"/>
  <c r="P22" i="47"/>
  <c r="O29" i="47"/>
  <c r="Y29" i="47"/>
  <c r="N34" i="47"/>
  <c r="P79" i="47"/>
  <c r="W89" i="45"/>
  <c r="AI139" i="45"/>
  <c r="AF12" i="46"/>
  <c r="O14" i="46"/>
  <c r="P16" i="46"/>
  <c r="P14" i="46" s="1"/>
  <c r="AC11" i="46"/>
  <c r="AC8" i="46" s="1"/>
  <c r="AG11" i="46"/>
  <c r="AG8" i="46" s="1"/>
  <c r="W12" i="46"/>
  <c r="Z29" i="46"/>
  <c r="N34" i="46"/>
  <c r="AI39" i="46"/>
  <c r="P39" i="46"/>
  <c r="Z54" i="46"/>
  <c r="AA69" i="46"/>
  <c r="Z86" i="46"/>
  <c r="Z84" i="46" s="1"/>
  <c r="AI89" i="46"/>
  <c r="P103" i="46"/>
  <c r="N106" i="46"/>
  <c r="P106" i="46" s="1"/>
  <c r="AA124" i="46"/>
  <c r="X164" i="46"/>
  <c r="U11" i="47"/>
  <c r="X19" i="47"/>
  <c r="Z12" i="47"/>
  <c r="P28" i="47"/>
  <c r="AA64" i="47"/>
  <c r="S79" i="46"/>
  <c r="W124" i="46"/>
  <c r="AB124" i="46"/>
  <c r="AI134" i="46"/>
  <c r="AI159" i="46"/>
  <c r="P31" i="47"/>
  <c r="P42" i="47"/>
  <c r="P41" i="47" s="1"/>
  <c r="N41" i="47"/>
  <c r="N39" i="47" s="1"/>
  <c r="AA54" i="47"/>
  <c r="AC139" i="46"/>
  <c r="Q11" i="46"/>
  <c r="P32" i="47"/>
  <c r="AB54" i="47"/>
  <c r="V29" i="47"/>
  <c r="O34" i="47"/>
  <c r="S39" i="47"/>
  <c r="P39" i="47"/>
  <c r="AI44" i="47"/>
  <c r="S76" i="47"/>
  <c r="AD84" i="47"/>
  <c r="P97" i="47"/>
  <c r="P100" i="47"/>
  <c r="V149" i="47"/>
  <c r="V151" i="47"/>
  <c r="AI100" i="49"/>
  <c r="AI19" i="49"/>
  <c r="P106" i="47"/>
  <c r="V144" i="47"/>
  <c r="S169" i="49"/>
  <c r="AI169" i="49" s="1"/>
  <c r="Y29" i="49"/>
  <c r="Y11" i="49"/>
  <c r="Y9" i="49" s="1"/>
  <c r="AI24" i="49"/>
  <c r="S79" i="47"/>
  <c r="AF79" i="47"/>
  <c r="P86" i="47"/>
  <c r="P84" i="47" s="1"/>
  <c r="Y89" i="47"/>
  <c r="AI89" i="47" s="1"/>
  <c r="AH93" i="47"/>
  <c r="AH90" i="47" s="1"/>
  <c r="AH89" i="47" s="1"/>
  <c r="Y144" i="47"/>
  <c r="V161" i="47"/>
  <c r="V159" i="47" s="1"/>
  <c r="Y8" i="49"/>
  <c r="AI39" i="49"/>
  <c r="S12" i="49"/>
  <c r="Z19" i="49"/>
  <c r="Z11" i="49"/>
  <c r="AH9" i="49"/>
  <c r="AH8" i="49"/>
  <c r="AI29" i="49"/>
  <c r="S11" i="49"/>
  <c r="N19" i="49"/>
  <c r="P21" i="49"/>
  <c r="N12" i="49"/>
  <c r="N8" i="49" s="1"/>
  <c r="W12" i="49"/>
  <c r="W8" i="49" s="1"/>
  <c r="W79" i="49"/>
  <c r="P9" i="49"/>
  <c r="AE8" i="49"/>
  <c r="AE9" i="49"/>
  <c r="O12" i="49"/>
  <c r="O8" i="49" s="1"/>
  <c r="Q11" i="49"/>
  <c r="Q34" i="49"/>
  <c r="Z49" i="49"/>
  <c r="Z12" i="49"/>
  <c r="AC11" i="49"/>
  <c r="AC64" i="49"/>
  <c r="W9" i="49"/>
  <c r="V9" i="49"/>
  <c r="V76" i="49"/>
  <c r="T12" i="49"/>
  <c r="T8" i="49" s="1"/>
  <c r="T74" i="49"/>
  <c r="AF19" i="49"/>
  <c r="AF11" i="49"/>
  <c r="AB8" i="49"/>
  <c r="AB9" i="49"/>
  <c r="S26" i="47"/>
  <c r="S24" i="47" s="1"/>
  <c r="AI24" i="47" s="1"/>
  <c r="AB164" i="47"/>
  <c r="T9" i="47"/>
  <c r="Q9" i="47"/>
  <c r="Y164" i="47"/>
  <c r="U12" i="47"/>
  <c r="U8" i="47" s="1"/>
  <c r="V166" i="47"/>
  <c r="V164" i="47" s="1"/>
  <c r="AB159" i="47"/>
  <c r="Y159" i="47"/>
  <c r="AI159" i="47" s="1"/>
  <c r="V156" i="47"/>
  <c r="V154" i="47" s="1"/>
  <c r="AI154" i="47" s="1"/>
  <c r="S155" i="47"/>
  <c r="S154" i="47" s="1"/>
  <c r="AI149" i="47"/>
  <c r="AB144" i="47"/>
  <c r="AI144" i="47" s="1"/>
  <c r="W9" i="47"/>
  <c r="AC139" i="47"/>
  <c r="AH11" i="47"/>
  <c r="AH8" i="47" s="1"/>
  <c r="AD129" i="47"/>
  <c r="AC129" i="47"/>
  <c r="AA129" i="47"/>
  <c r="AB129" i="47"/>
  <c r="Y124" i="47"/>
  <c r="S121" i="47"/>
  <c r="S119" i="47" s="1"/>
  <c r="S116" i="47"/>
  <c r="S114" i="47" s="1"/>
  <c r="S111" i="47"/>
  <c r="S109" i="47" s="1"/>
  <c r="AC84" i="47"/>
  <c r="AE84" i="47"/>
  <c r="AI84" i="47" s="1"/>
  <c r="AE79" i="47"/>
  <c r="AC79" i="47"/>
  <c r="AC8" i="47"/>
  <c r="AD11" i="47"/>
  <c r="AD8" i="47" s="1"/>
  <c r="AI79" i="47"/>
  <c r="V76" i="47"/>
  <c r="Q74" i="47"/>
  <c r="S74" i="47" s="1"/>
  <c r="AB64" i="47"/>
  <c r="AI39" i="47"/>
  <c r="S34" i="47"/>
  <c r="S56" i="47"/>
  <c r="S54" i="47"/>
  <c r="AI54" i="47" s="1"/>
  <c r="L54" i="47"/>
  <c r="T8" i="47"/>
  <c r="S31" i="47"/>
  <c r="R9" i="47"/>
  <c r="P30" i="47"/>
  <c r="O8" i="47"/>
  <c r="N11" i="47"/>
  <c r="N9" i="47" s="1"/>
  <c r="AG9" i="47"/>
  <c r="AH19" i="47"/>
  <c r="AD19" i="47"/>
  <c r="AC9" i="47"/>
  <c r="Z9" i="47"/>
  <c r="Z19" i="47"/>
  <c r="Z8" i="47"/>
  <c r="Q12" i="47"/>
  <c r="Q8" i="47" s="1"/>
  <c r="U9" i="47"/>
  <c r="S14" i="47"/>
  <c r="R12" i="47"/>
  <c r="R8" i="47" s="1"/>
  <c r="P34" i="47"/>
  <c r="P11" i="47"/>
  <c r="AF89" i="47"/>
  <c r="AF11" i="47"/>
  <c r="AB136" i="47"/>
  <c r="AB134" i="47" s="1"/>
  <c r="AI134" i="47" s="1"/>
  <c r="AI64" i="47"/>
  <c r="AI139" i="47"/>
  <c r="N19" i="47"/>
  <c r="P21" i="47"/>
  <c r="AE19" i="47"/>
  <c r="AE11" i="47"/>
  <c r="W12" i="47"/>
  <c r="W8" i="47" s="1"/>
  <c r="W69" i="47"/>
  <c r="AB19" i="47"/>
  <c r="AI19" i="47" s="1"/>
  <c r="AA11" i="47"/>
  <c r="AA9" i="47" s="1"/>
  <c r="AA69" i="47"/>
  <c r="V74" i="47"/>
  <c r="Y11" i="47"/>
  <c r="Y74" i="47"/>
  <c r="AI74" i="47"/>
  <c r="V11" i="47"/>
  <c r="V59" i="47"/>
  <c r="AI59" i="47" s="1"/>
  <c r="X8" i="47"/>
  <c r="P29" i="47"/>
  <c r="AB124" i="47"/>
  <c r="AI124" i="47" s="1"/>
  <c r="S30" i="47"/>
  <c r="Y72" i="47"/>
  <c r="Y71" i="47" s="1"/>
  <c r="N79" i="47"/>
  <c r="N86" i="47"/>
  <c r="N84" i="47" s="1"/>
  <c r="P107" i="47"/>
  <c r="AA126" i="47"/>
  <c r="AE131" i="47"/>
  <c r="AE12" i="47" s="1"/>
  <c r="AA136" i="47"/>
  <c r="AA134" i="47" s="1"/>
  <c r="U159" i="47"/>
  <c r="AB73" i="47"/>
  <c r="AB70" i="47" s="1"/>
  <c r="AB69" i="47" s="1"/>
  <c r="M12" i="47"/>
  <c r="M8" i="47" s="1"/>
  <c r="S165" i="47"/>
  <c r="S164" i="47" s="1"/>
  <c r="AI34" i="46"/>
  <c r="V149" i="46"/>
  <c r="V154" i="46"/>
  <c r="S154" i="46"/>
  <c r="U149" i="46"/>
  <c r="U11" i="46"/>
  <c r="U9" i="46" s="1"/>
  <c r="R8" i="46"/>
  <c r="R9" i="46"/>
  <c r="Y144" i="46"/>
  <c r="AI144" i="46" s="1"/>
  <c r="X8" i="46"/>
  <c r="Q144" i="46"/>
  <c r="Q9" i="46"/>
  <c r="Y12" i="46"/>
  <c r="Y19" i="46"/>
  <c r="AB19" i="46"/>
  <c r="AB11" i="46"/>
  <c r="V59" i="46"/>
  <c r="V11" i="46"/>
  <c r="AE131" i="46"/>
  <c r="AE12" i="46" s="1"/>
  <c r="S11" i="46"/>
  <c r="S9" i="46" s="1"/>
  <c r="S149" i="46"/>
  <c r="AI59" i="46"/>
  <c r="AH11" i="46"/>
  <c r="AH19" i="46"/>
  <c r="V49" i="46"/>
  <c r="V12" i="46"/>
  <c r="AC9" i="46"/>
  <c r="AG9" i="46"/>
  <c r="W8" i="46"/>
  <c r="AI69" i="46"/>
  <c r="S14" i="46"/>
  <c r="S12" i="46"/>
  <c r="Q34" i="46"/>
  <c r="AE11" i="46"/>
  <c r="AE44" i="46"/>
  <c r="AI44" i="46" s="1"/>
  <c r="AD64" i="46"/>
  <c r="AD11" i="46"/>
  <c r="AI124" i="46"/>
  <c r="AI139" i="46"/>
  <c r="AB12" i="46"/>
  <c r="AB54" i="46"/>
  <c r="AI79" i="46"/>
  <c r="AI94" i="46"/>
  <c r="Y11" i="46"/>
  <c r="O12" i="46"/>
  <c r="Z20" i="46"/>
  <c r="O30" i="46"/>
  <c r="N31" i="46"/>
  <c r="Z39" i="46"/>
  <c r="Q54" i="46"/>
  <c r="AA65" i="46"/>
  <c r="Q86" i="46"/>
  <c r="Q84" i="46" s="1"/>
  <c r="S84" i="46" s="1"/>
  <c r="AD131" i="46"/>
  <c r="AA141" i="46"/>
  <c r="AA139" i="46" s="1"/>
  <c r="P77" i="46"/>
  <c r="P76" i="46" s="1"/>
  <c r="P74" i="46" s="1"/>
  <c r="AI74" i="46" s="1"/>
  <c r="AA69" i="45"/>
  <c r="AB73" i="45"/>
  <c r="AB70" i="45" s="1"/>
  <c r="AB69" i="45" s="1"/>
  <c r="X69" i="45"/>
  <c r="X12" i="45"/>
  <c r="X8" i="45" s="1"/>
  <c r="Y72" i="45"/>
  <c r="Y71" i="45" s="1"/>
  <c r="Y69" i="45" s="1"/>
  <c r="AG9" i="45"/>
  <c r="AD11" i="45"/>
  <c r="AD9" i="45" s="1"/>
  <c r="AC9" i="45"/>
  <c r="AA65" i="45"/>
  <c r="Z11" i="45"/>
  <c r="Z8" i="45" s="1"/>
  <c r="W64" i="45"/>
  <c r="P19" i="45"/>
  <c r="AE19" i="45"/>
  <c r="AE11" i="45"/>
  <c r="AE9" i="45" s="1"/>
  <c r="Y19" i="45"/>
  <c r="AB19" i="45"/>
  <c r="AI84" i="45"/>
  <c r="AI89" i="45"/>
  <c r="AI144" i="45"/>
  <c r="AH11" i="45"/>
  <c r="AI134" i="45"/>
  <c r="Q12" i="45"/>
  <c r="Q8" i="45" s="1"/>
  <c r="Q34" i="45"/>
  <c r="AE129" i="45"/>
  <c r="AE12" i="45"/>
  <c r="AB49" i="45"/>
  <c r="AB12" i="45"/>
  <c r="V74" i="45"/>
  <c r="AI74" i="45" s="1"/>
  <c r="V12" i="45"/>
  <c r="Y74" i="45"/>
  <c r="Y11" i="45"/>
  <c r="S11" i="45"/>
  <c r="S8" i="45" s="1"/>
  <c r="S149" i="45"/>
  <c r="AI149" i="45" s="1"/>
  <c r="V11" i="45"/>
  <c r="V154" i="45"/>
  <c r="AI154" i="45" s="1"/>
  <c r="AI129" i="45"/>
  <c r="AI34" i="45"/>
  <c r="AI39" i="45"/>
  <c r="AI124" i="45"/>
  <c r="AI164" i="45"/>
  <c r="P26" i="45"/>
  <c r="P24" i="45" s="1"/>
  <c r="O30" i="45"/>
  <c r="N31" i="45"/>
  <c r="N106" i="45"/>
  <c r="P106" i="45" s="1"/>
  <c r="AA141" i="45"/>
  <c r="AA139" i="45" s="1"/>
  <c r="Z29" i="45"/>
  <c r="N79" i="45"/>
  <c r="N86" i="45"/>
  <c r="N84" i="45" s="1"/>
  <c r="AF90" i="45"/>
  <c r="AA126" i="45"/>
  <c r="M12" i="45"/>
  <c r="M8" i="45" s="1"/>
  <c r="AA136" i="45"/>
  <c r="AA134" i="45" s="1"/>
  <c r="O33" i="44"/>
  <c r="R32" i="44"/>
  <c r="R31" i="44" s="1"/>
  <c r="V30" i="44"/>
  <c r="O30" i="44"/>
  <c r="N35" i="44"/>
  <c r="P38" i="44"/>
  <c r="P35" i="44" s="1"/>
  <c r="O35" i="44"/>
  <c r="AF93" i="44"/>
  <c r="AE73" i="44"/>
  <c r="AE70" i="44" s="1"/>
  <c r="AE69" i="44" s="1"/>
  <c r="AC70" i="44"/>
  <c r="AC69" i="44" s="1"/>
  <c r="AD70" i="44"/>
  <c r="AD69" i="44" s="1"/>
  <c r="AA69" i="44"/>
  <c r="AB69" i="44"/>
  <c r="AA70" i="44"/>
  <c r="AB70" i="44"/>
  <c r="Z70" i="44"/>
  <c r="Z69" i="44" s="1"/>
  <c r="AB73" i="44"/>
  <c r="AC64" i="44"/>
  <c r="AD65" i="44"/>
  <c r="AD64" i="44" s="1"/>
  <c r="AC65" i="44"/>
  <c r="AE68" i="44"/>
  <c r="AE65" i="44" s="1"/>
  <c r="AE64" i="44" s="1"/>
  <c r="Z64" i="44"/>
  <c r="AA65" i="44"/>
  <c r="AA64" i="44" s="1"/>
  <c r="Z65" i="44"/>
  <c r="AB68" i="44"/>
  <c r="AB65" i="44" s="1"/>
  <c r="AB64" i="44" s="1"/>
  <c r="T59" i="44"/>
  <c r="V60" i="44"/>
  <c r="V59" i="44" s="1"/>
  <c r="U60" i="44"/>
  <c r="U59" i="44" s="1"/>
  <c r="V63" i="44"/>
  <c r="S60" i="44"/>
  <c r="AG139" i="44"/>
  <c r="AH139" i="44"/>
  <c r="AG140" i="44"/>
  <c r="AH140" i="44"/>
  <c r="AF140" i="44"/>
  <c r="AF139" i="44" s="1"/>
  <c r="AH143" i="44"/>
  <c r="AC139" i="44"/>
  <c r="AD140" i="44"/>
  <c r="AD139" i="44" s="1"/>
  <c r="AC140" i="44"/>
  <c r="AE143" i="44"/>
  <c r="AE140" i="44" s="1"/>
  <c r="AE139" i="44" s="1"/>
  <c r="AF134" i="44"/>
  <c r="AG135" i="44"/>
  <c r="AG134" i="44" s="1"/>
  <c r="AF135" i="44"/>
  <c r="AH138" i="44"/>
  <c r="AH135" i="44" s="1"/>
  <c r="AH134" i="44" s="1"/>
  <c r="AD134" i="44"/>
  <c r="AD135" i="44"/>
  <c r="AE135" i="44"/>
  <c r="AE134" i="44" s="1"/>
  <c r="AC135" i="44"/>
  <c r="AC134" i="44" s="1"/>
  <c r="AE138" i="44"/>
  <c r="AG133" i="44"/>
  <c r="AG128" i="44"/>
  <c r="N10" i="44"/>
  <c r="O10" i="44"/>
  <c r="R10" i="44"/>
  <c r="T10" i="44"/>
  <c r="U10" i="44"/>
  <c r="V10" i="44"/>
  <c r="W10" i="44"/>
  <c r="X10" i="44"/>
  <c r="Z10" i="44"/>
  <c r="AA10" i="44"/>
  <c r="AC10" i="44"/>
  <c r="AD10" i="44"/>
  <c r="AF10" i="44"/>
  <c r="AG10" i="44"/>
  <c r="M10" i="44"/>
  <c r="AD39" i="44"/>
  <c r="AC39" i="44"/>
  <c r="AE40" i="44"/>
  <c r="AE39" i="44" s="1"/>
  <c r="AE43" i="44"/>
  <c r="AA39" i="44"/>
  <c r="X39" i="44"/>
  <c r="Y39" i="44"/>
  <c r="Y40" i="44"/>
  <c r="Y43" i="44"/>
  <c r="AA34" i="44"/>
  <c r="AB34" i="44"/>
  <c r="Z34" i="44"/>
  <c r="AB35" i="44"/>
  <c r="AB38" i="44"/>
  <c r="X34" i="44"/>
  <c r="Y35" i="44"/>
  <c r="Y34" i="44" s="1"/>
  <c r="Y38" i="44"/>
  <c r="AA29" i="44"/>
  <c r="AB33" i="44"/>
  <c r="Y31" i="44"/>
  <c r="X29" i="44"/>
  <c r="Y30" i="44"/>
  <c r="Y33" i="44"/>
  <c r="X24" i="44"/>
  <c r="X26" i="44"/>
  <c r="Y26" i="44"/>
  <c r="W26" i="44"/>
  <c r="Y28" i="44"/>
  <c r="Y24" i="44" s="1"/>
  <c r="X66" i="44"/>
  <c r="X64" i="44" s="1"/>
  <c r="Y66" i="44"/>
  <c r="Y64" i="44" s="1"/>
  <c r="W66" i="44"/>
  <c r="W64" i="44" s="1"/>
  <c r="Y67" i="44"/>
  <c r="AG12" i="44"/>
  <c r="Q169" i="44"/>
  <c r="Q10" i="44" s="1"/>
  <c r="Q170" i="44"/>
  <c r="N108" i="44"/>
  <c r="N107" i="44"/>
  <c r="Q37" i="44"/>
  <c r="N37" i="44"/>
  <c r="Q18" i="44"/>
  <c r="N17" i="44"/>
  <c r="N11" i="44"/>
  <c r="T11" i="44"/>
  <c r="M11" i="44"/>
  <c r="U165" i="44"/>
  <c r="U164" i="44" s="1"/>
  <c r="V168" i="44"/>
  <c r="V165" i="44" s="1"/>
  <c r="V164" i="44" s="1"/>
  <c r="R165" i="44"/>
  <c r="R164" i="44" s="1"/>
  <c r="S167" i="44"/>
  <c r="S165" i="44" s="1"/>
  <c r="S164" i="44" s="1"/>
  <c r="AI164" i="44" s="1"/>
  <c r="V163" i="44"/>
  <c r="V160" i="44" s="1"/>
  <c r="V159" i="44" s="1"/>
  <c r="U160" i="44"/>
  <c r="U159" i="44" s="1"/>
  <c r="S162" i="44"/>
  <c r="S160" i="44" s="1"/>
  <c r="S159" i="44" s="1"/>
  <c r="AI159" i="44" s="1"/>
  <c r="R160" i="44"/>
  <c r="R159" i="44" s="1"/>
  <c r="U155" i="44"/>
  <c r="U154" i="44" s="1"/>
  <c r="R155" i="44"/>
  <c r="R154" i="44" s="1"/>
  <c r="V158" i="44"/>
  <c r="V155" i="44" s="1"/>
  <c r="V154" i="44" s="1"/>
  <c r="S157" i="44"/>
  <c r="S155" i="44" s="1"/>
  <c r="S154" i="44" s="1"/>
  <c r="AI154" i="44" s="1"/>
  <c r="V153" i="44"/>
  <c r="V150" i="44" s="1"/>
  <c r="V149" i="44" s="1"/>
  <c r="S152" i="44"/>
  <c r="S150" i="44" s="1"/>
  <c r="S149" i="44" s="1"/>
  <c r="AI149" i="44" s="1"/>
  <c r="V148" i="44"/>
  <c r="V145" i="44" s="1"/>
  <c r="V144" i="44" s="1"/>
  <c r="S147" i="44"/>
  <c r="S145" i="44" s="1"/>
  <c r="S144" i="44" s="1"/>
  <c r="AI144" i="44" s="1"/>
  <c r="U150" i="44"/>
  <c r="U149" i="44" s="1"/>
  <c r="R150" i="44"/>
  <c r="R149" i="44" s="1"/>
  <c r="U145" i="44"/>
  <c r="U144" i="44" s="1"/>
  <c r="R145" i="44"/>
  <c r="R144" i="44" s="1"/>
  <c r="Z141" i="44"/>
  <c r="Z139" i="44" s="1"/>
  <c r="AA142" i="44"/>
  <c r="AA141" i="44" s="1"/>
  <c r="AA139" i="44" s="1"/>
  <c r="X141" i="44"/>
  <c r="X139" i="44" s="1"/>
  <c r="W141" i="44"/>
  <c r="W139" i="44" s="1"/>
  <c r="Y142" i="44"/>
  <c r="Y141" i="44" s="1"/>
  <c r="Y139" i="44" s="1"/>
  <c r="AA51" i="44"/>
  <c r="AA49" i="44" s="1"/>
  <c r="AB53" i="44"/>
  <c r="AB51" i="44" s="1"/>
  <c r="AB49" i="44" s="1"/>
  <c r="Z51" i="44"/>
  <c r="Z49" i="44" s="1"/>
  <c r="X51" i="44"/>
  <c r="X49" i="44" s="1"/>
  <c r="Y53" i="44"/>
  <c r="Y51" i="44" s="1"/>
  <c r="Y49" i="44" s="1"/>
  <c r="W51" i="44"/>
  <c r="W49" i="44" s="1"/>
  <c r="U51" i="44"/>
  <c r="U49" i="44" s="1"/>
  <c r="T51" i="44"/>
  <c r="T49" i="44" s="1"/>
  <c r="V52" i="44"/>
  <c r="V51" i="44" s="1"/>
  <c r="V49" i="44" s="1"/>
  <c r="R35" i="44"/>
  <c r="Q35" i="44"/>
  <c r="Q11" i="44" s="1"/>
  <c r="AH170" i="44"/>
  <c r="AH12" i="44" s="1"/>
  <c r="AE170" i="44"/>
  <c r="AB170" i="44"/>
  <c r="Y170" i="44"/>
  <c r="AH169" i="44"/>
  <c r="AH10" i="44" s="1"/>
  <c r="AE169" i="44"/>
  <c r="AE10" i="44" s="1"/>
  <c r="AB169" i="44"/>
  <c r="AB10" i="44" s="1"/>
  <c r="Y169" i="44"/>
  <c r="Y10" i="44" s="1"/>
  <c r="AH133" i="44"/>
  <c r="AH130" i="44" s="1"/>
  <c r="AH129" i="44" s="1"/>
  <c r="AG130" i="44"/>
  <c r="AG129" i="44" s="1"/>
  <c r="AF130" i="44"/>
  <c r="AF129" i="44" s="1"/>
  <c r="AD130" i="44"/>
  <c r="AE133" i="44"/>
  <c r="AE130" i="44" s="1"/>
  <c r="AC130" i="44"/>
  <c r="AG125" i="44"/>
  <c r="AG124" i="44" s="1"/>
  <c r="AF125" i="44"/>
  <c r="AF124" i="44" s="1"/>
  <c r="AH128" i="44"/>
  <c r="AH125" i="44" s="1"/>
  <c r="AH124" i="44" s="1"/>
  <c r="AD125" i="44"/>
  <c r="AD124" i="44" s="1"/>
  <c r="AC125" i="44"/>
  <c r="AC124" i="44" s="1"/>
  <c r="AE128" i="44"/>
  <c r="AE125" i="44" s="1"/>
  <c r="AE124" i="44" s="1"/>
  <c r="AG90" i="44"/>
  <c r="AG89" i="44" s="1"/>
  <c r="AD90" i="44"/>
  <c r="AD89" i="44" s="1"/>
  <c r="AC90" i="44"/>
  <c r="AE93" i="44"/>
  <c r="AE90" i="44" s="1"/>
  <c r="AE89" i="44" s="1"/>
  <c r="AA90" i="44"/>
  <c r="AA89" i="44" s="1"/>
  <c r="Z90" i="44"/>
  <c r="AB93" i="44"/>
  <c r="AB90" i="44" s="1"/>
  <c r="AB89" i="44" s="1"/>
  <c r="X91" i="44"/>
  <c r="W91" i="44"/>
  <c r="Y92" i="44"/>
  <c r="Y91" i="44" s="1"/>
  <c r="X90" i="44"/>
  <c r="W90" i="44"/>
  <c r="Y93" i="44"/>
  <c r="Y90" i="44" s="1"/>
  <c r="Z78" i="44"/>
  <c r="Z75" i="44" s="1"/>
  <c r="Z74" i="44" s="1"/>
  <c r="AG45" i="44"/>
  <c r="AG44" i="44" s="1"/>
  <c r="AF45" i="44"/>
  <c r="AH48" i="44"/>
  <c r="AH45" i="44" s="1"/>
  <c r="AH44" i="44" s="1"/>
  <c r="AD45" i="44"/>
  <c r="AD44" i="44" s="1"/>
  <c r="AC45" i="44"/>
  <c r="AE48" i="44"/>
  <c r="AE45" i="44" s="1"/>
  <c r="AE44" i="44" s="1"/>
  <c r="AA46" i="44"/>
  <c r="AA44" i="44" s="1"/>
  <c r="Z46" i="44"/>
  <c r="AB47" i="44"/>
  <c r="AB46" i="44" s="1"/>
  <c r="AB44" i="44" s="1"/>
  <c r="X46" i="44"/>
  <c r="X44" i="44" s="1"/>
  <c r="W46" i="44"/>
  <c r="Y47" i="44"/>
  <c r="Y46" i="44" s="1"/>
  <c r="Y44" i="44" s="1"/>
  <c r="AA75" i="44"/>
  <c r="AA74" i="44" s="1"/>
  <c r="X75" i="44"/>
  <c r="X74" i="44" s="1"/>
  <c r="W75" i="44"/>
  <c r="Y78" i="44"/>
  <c r="Y75" i="44" s="1"/>
  <c r="Y74" i="44" s="1"/>
  <c r="X71" i="44"/>
  <c r="X69" i="44" s="1"/>
  <c r="Y72" i="44"/>
  <c r="Y71" i="44" s="1"/>
  <c r="Y69" i="44" s="1"/>
  <c r="AA55" i="44"/>
  <c r="Z55" i="44"/>
  <c r="AA56" i="44"/>
  <c r="Z56" i="44"/>
  <c r="AB58" i="44"/>
  <c r="AB55" i="44" s="1"/>
  <c r="AB57" i="44"/>
  <c r="AB56" i="44" s="1"/>
  <c r="X55" i="44"/>
  <c r="X54" i="44" s="1"/>
  <c r="Y58" i="44"/>
  <c r="Y55" i="44" s="1"/>
  <c r="W55" i="44"/>
  <c r="U26" i="44"/>
  <c r="U24" i="44" s="1"/>
  <c r="T26" i="44"/>
  <c r="T24" i="44" s="1"/>
  <c r="R26" i="44"/>
  <c r="R24" i="44" s="1"/>
  <c r="Q26" i="44"/>
  <c r="Q24" i="44" s="1"/>
  <c r="O24" i="44"/>
  <c r="N24" i="44"/>
  <c r="M26" i="44"/>
  <c r="S123" i="44"/>
  <c r="S122" i="44"/>
  <c r="R121" i="44"/>
  <c r="R119" i="44" s="1"/>
  <c r="Q121" i="44"/>
  <c r="Q119" i="44" s="1"/>
  <c r="S118" i="44"/>
  <c r="S117" i="44"/>
  <c r="R116" i="44"/>
  <c r="R114" i="44" s="1"/>
  <c r="Q116" i="44"/>
  <c r="Q114" i="44" s="1"/>
  <c r="R111" i="44"/>
  <c r="R109" i="44" s="1"/>
  <c r="S113" i="44"/>
  <c r="S112" i="44"/>
  <c r="Q111" i="44"/>
  <c r="Q109" i="44" s="1"/>
  <c r="Z136" i="44"/>
  <c r="Z134" i="44" s="1"/>
  <c r="AA137" i="44"/>
  <c r="AA136" i="44" s="1"/>
  <c r="AA134" i="44" s="1"/>
  <c r="Y137" i="44"/>
  <c r="Y136" i="44" s="1"/>
  <c r="Y134" i="44" s="1"/>
  <c r="X136" i="44"/>
  <c r="X134" i="44" s="1"/>
  <c r="W136" i="44"/>
  <c r="W134" i="44" s="1"/>
  <c r="AA127" i="44"/>
  <c r="AA126" i="44" s="1"/>
  <c r="Z126" i="44"/>
  <c r="X125" i="44"/>
  <c r="X126" i="44"/>
  <c r="W126" i="44"/>
  <c r="Y127" i="44"/>
  <c r="Y126" i="44" s="1"/>
  <c r="AA125" i="44"/>
  <c r="Z125" i="44"/>
  <c r="AB128" i="44"/>
  <c r="AB125" i="44" s="1"/>
  <c r="Y128" i="44"/>
  <c r="Y125" i="44" s="1"/>
  <c r="W125" i="44"/>
  <c r="AD132" i="44"/>
  <c r="AE132" i="44" s="1"/>
  <c r="AE131" i="44" s="1"/>
  <c r="AC131" i="44"/>
  <c r="AC129" i="44" s="1"/>
  <c r="AA131" i="44"/>
  <c r="AA130" i="44"/>
  <c r="Z130" i="44"/>
  <c r="Z129" i="44" s="1"/>
  <c r="AB133" i="44"/>
  <c r="AB130" i="44" s="1"/>
  <c r="AB132" i="44"/>
  <c r="AB131" i="44" s="1"/>
  <c r="Y129" i="44"/>
  <c r="AG20" i="44"/>
  <c r="AE23" i="44"/>
  <c r="AE20" i="44" s="1"/>
  <c r="AE19" i="44" s="1"/>
  <c r="AD20" i="44"/>
  <c r="AD19" i="44" s="1"/>
  <c r="AC20" i="44"/>
  <c r="AA21" i="44"/>
  <c r="Z21" i="44"/>
  <c r="AB22" i="44"/>
  <c r="AB21" i="44" s="1"/>
  <c r="AA20" i="44"/>
  <c r="Y22" i="44"/>
  <c r="Y21" i="44" s="1"/>
  <c r="X21" i="44"/>
  <c r="X19" i="44" s="1"/>
  <c r="W21" i="44"/>
  <c r="I19" i="44"/>
  <c r="AG85" i="44"/>
  <c r="AG84" i="44" s="1"/>
  <c r="AF85" i="44"/>
  <c r="AH88" i="44"/>
  <c r="AH85" i="44" s="1"/>
  <c r="AH84" i="44" s="1"/>
  <c r="AE87" i="44"/>
  <c r="AE86" i="44" s="1"/>
  <c r="AD86" i="44"/>
  <c r="AC86" i="44"/>
  <c r="AD85" i="44"/>
  <c r="AC85" i="44"/>
  <c r="AE88" i="44"/>
  <c r="AE85" i="44" s="1"/>
  <c r="AA86" i="44"/>
  <c r="AA84" i="44" s="1"/>
  <c r="X86" i="44"/>
  <c r="X84" i="44" s="1"/>
  <c r="AH83" i="44"/>
  <c r="AH80" i="44" s="1"/>
  <c r="AH79" i="44" s="1"/>
  <c r="AG80" i="44"/>
  <c r="AG79" i="44" s="1"/>
  <c r="AF80" i="44"/>
  <c r="AD80" i="44"/>
  <c r="AC80" i="44"/>
  <c r="AE83" i="44"/>
  <c r="AE80" i="44" s="1"/>
  <c r="AE82" i="44"/>
  <c r="AE81" i="44" s="1"/>
  <c r="AD81" i="44"/>
  <c r="AC81" i="44"/>
  <c r="AB82" i="44"/>
  <c r="AB81" i="44" s="1"/>
  <c r="AB79" i="44" s="1"/>
  <c r="AA81" i="44"/>
  <c r="AA79" i="44" s="1"/>
  <c r="Z81" i="44"/>
  <c r="Z79" i="44" s="1"/>
  <c r="Y82" i="44"/>
  <c r="Y81" i="44" s="1"/>
  <c r="Y79" i="44" s="1"/>
  <c r="X81" i="44"/>
  <c r="X79" i="44" s="1"/>
  <c r="W81" i="44"/>
  <c r="W79" i="44" s="1"/>
  <c r="W71" i="44"/>
  <c r="W69" i="44" s="1"/>
  <c r="R66" i="44"/>
  <c r="R64" i="44" s="1"/>
  <c r="Q66" i="44"/>
  <c r="Q64" i="44" s="1"/>
  <c r="S67" i="44"/>
  <c r="S66" i="44" s="1"/>
  <c r="S64" i="44" s="1"/>
  <c r="U76" i="44"/>
  <c r="U74" i="44" s="1"/>
  <c r="R61" i="44"/>
  <c r="R59" i="44" s="1"/>
  <c r="S59" i="44" s="1"/>
  <c r="Q82" i="44"/>
  <c r="Q87" i="44"/>
  <c r="Q86" i="44" s="1"/>
  <c r="Q76" i="44"/>
  <c r="Q74" i="44" s="1"/>
  <c r="M16" i="44"/>
  <c r="M14" i="44" s="1"/>
  <c r="L24" i="44"/>
  <c r="N32" i="44"/>
  <c r="N31" i="44" s="1"/>
  <c r="S170" i="44"/>
  <c r="R16" i="44"/>
  <c r="V170" i="44"/>
  <c r="V96" i="44"/>
  <c r="V94" i="44" s="1"/>
  <c r="U94" i="44"/>
  <c r="U84" i="44"/>
  <c r="V84" i="44"/>
  <c r="U79" i="44"/>
  <c r="V79" i="44"/>
  <c r="V77" i="44"/>
  <c r="V57" i="44"/>
  <c r="V56" i="44"/>
  <c r="V54" i="44" s="1"/>
  <c r="U54" i="44"/>
  <c r="U39" i="44"/>
  <c r="U34" i="44"/>
  <c r="U29" i="44"/>
  <c r="V31" i="44"/>
  <c r="V28" i="44"/>
  <c r="V27" i="44"/>
  <c r="R106" i="44"/>
  <c r="Q106" i="44"/>
  <c r="S108" i="44"/>
  <c r="S107" i="44"/>
  <c r="N36" i="44"/>
  <c r="P170" i="44"/>
  <c r="S169" i="44"/>
  <c r="S10" i="44" s="1"/>
  <c r="P169" i="44"/>
  <c r="P10" i="44" s="1"/>
  <c r="J8" i="44"/>
  <c r="G8" i="44"/>
  <c r="F8" i="44"/>
  <c r="E8" i="44"/>
  <c r="S129" i="44"/>
  <c r="P129" i="44"/>
  <c r="S124" i="44"/>
  <c r="P124" i="44"/>
  <c r="P108" i="44"/>
  <c r="P107" i="44"/>
  <c r="O106" i="44"/>
  <c r="N106" i="44"/>
  <c r="P105" i="44"/>
  <c r="P104" i="44"/>
  <c r="O103" i="44"/>
  <c r="N103" i="44"/>
  <c r="P102" i="44"/>
  <c r="P101" i="44"/>
  <c r="O100" i="44"/>
  <c r="N100" i="44"/>
  <c r="P99" i="44"/>
  <c r="P98" i="44"/>
  <c r="O97" i="44"/>
  <c r="N97" i="44"/>
  <c r="S96" i="44"/>
  <c r="P96" i="44"/>
  <c r="P94" i="44" s="1"/>
  <c r="S95" i="44"/>
  <c r="M94" i="44"/>
  <c r="T94" i="44"/>
  <c r="Q94" i="44"/>
  <c r="S94" i="44" s="1"/>
  <c r="O94" i="44"/>
  <c r="N94" i="44"/>
  <c r="AH93" i="44"/>
  <c r="AH90" i="44" s="1"/>
  <c r="AH89" i="44" s="1"/>
  <c r="S93" i="44"/>
  <c r="P93" i="44"/>
  <c r="S92" i="44"/>
  <c r="S91" i="44"/>
  <c r="M89" i="44"/>
  <c r="S90" i="44"/>
  <c r="P90" i="44"/>
  <c r="P89" i="44" s="1"/>
  <c r="AC89" i="44"/>
  <c r="Z89" i="44"/>
  <c r="T89" i="44"/>
  <c r="Q89" i="44"/>
  <c r="S89" i="44" s="1"/>
  <c r="O89" i="44"/>
  <c r="N89" i="44"/>
  <c r="S88" i="44"/>
  <c r="P88" i="44"/>
  <c r="Z87" i="44"/>
  <c r="Z86" i="44" s="1"/>
  <c r="Z84" i="44" s="1"/>
  <c r="W87" i="44"/>
  <c r="W86" i="44" s="1"/>
  <c r="N87" i="44"/>
  <c r="P87" i="44" s="1"/>
  <c r="M86" i="44"/>
  <c r="M84" i="44" s="1"/>
  <c r="R86" i="44"/>
  <c r="R84" i="44" s="1"/>
  <c r="O86" i="44"/>
  <c r="O84" i="44" s="1"/>
  <c r="S85" i="44"/>
  <c r="AF84" i="44"/>
  <c r="AC84" i="44"/>
  <c r="T84" i="44"/>
  <c r="S83" i="44"/>
  <c r="P83" i="44"/>
  <c r="S82" i="44"/>
  <c r="S81" i="44" s="1"/>
  <c r="N82" i="44"/>
  <c r="P82" i="44" s="1"/>
  <c r="AF81" i="44"/>
  <c r="AF12" i="44" s="1"/>
  <c r="R81" i="44"/>
  <c r="R79" i="44" s="1"/>
  <c r="O81" i="44"/>
  <c r="O79" i="44" s="1"/>
  <c r="S80" i="44"/>
  <c r="P80" i="44"/>
  <c r="T79" i="44"/>
  <c r="I79" i="44"/>
  <c r="S78" i="44"/>
  <c r="P78" i="44"/>
  <c r="S77" i="44"/>
  <c r="N77" i="44"/>
  <c r="N76" i="44" s="1"/>
  <c r="N74" i="44" s="1"/>
  <c r="T76" i="44"/>
  <c r="T74" i="44" s="1"/>
  <c r="R76" i="44"/>
  <c r="O76" i="44"/>
  <c r="O74" i="44" s="1"/>
  <c r="S75" i="44"/>
  <c r="P75" i="44"/>
  <c r="W74" i="44"/>
  <c r="S63" i="44"/>
  <c r="S62" i="44"/>
  <c r="S61" i="44" s="1"/>
  <c r="AF59" i="44"/>
  <c r="AC59" i="44"/>
  <c r="Z59" i="44"/>
  <c r="W59" i="44"/>
  <c r="Q56" i="44"/>
  <c r="S56" i="44" s="1"/>
  <c r="W54" i="44"/>
  <c r="S55" i="44"/>
  <c r="T54" i="44"/>
  <c r="I54" i="44"/>
  <c r="S48" i="44"/>
  <c r="S47" i="44"/>
  <c r="S46" i="44"/>
  <c r="S45" i="44"/>
  <c r="AF44" i="44"/>
  <c r="AC44" i="44"/>
  <c r="Z44" i="44"/>
  <c r="W44" i="44"/>
  <c r="T44" i="44"/>
  <c r="Q44" i="44"/>
  <c r="S44" i="44" s="1"/>
  <c r="I44" i="44"/>
  <c r="Z43" i="44"/>
  <c r="AB43" i="44" s="1"/>
  <c r="V43" i="44"/>
  <c r="S43" i="44"/>
  <c r="S42" i="44"/>
  <c r="N42" i="44"/>
  <c r="N41" i="44" s="1"/>
  <c r="S41" i="44"/>
  <c r="O41" i="44"/>
  <c r="O39" i="44" s="1"/>
  <c r="Z40" i="44"/>
  <c r="Z39" i="44" s="1"/>
  <c r="V40" i="44"/>
  <c r="V39" i="44" s="1"/>
  <c r="S40" i="44"/>
  <c r="P40" i="44"/>
  <c r="W39" i="44"/>
  <c r="T39" i="44"/>
  <c r="R39" i="44"/>
  <c r="Q39" i="44"/>
  <c r="S38" i="44"/>
  <c r="S35" i="44" s="1"/>
  <c r="S37" i="44"/>
  <c r="S36" i="44" s="1"/>
  <c r="P37" i="44"/>
  <c r="P36" i="44" s="1"/>
  <c r="R36" i="44"/>
  <c r="R34" i="44" s="1"/>
  <c r="Q36" i="44"/>
  <c r="Q34" i="44" s="1"/>
  <c r="O36" i="44"/>
  <c r="O34" i="44" s="1"/>
  <c r="N34" i="44"/>
  <c r="V35" i="44"/>
  <c r="V34" i="44" s="1"/>
  <c r="W34" i="44"/>
  <c r="T34" i="44"/>
  <c r="V33" i="44"/>
  <c r="S33" i="44"/>
  <c r="P33" i="44"/>
  <c r="S32" i="44"/>
  <c r="P32" i="44"/>
  <c r="Z31" i="44"/>
  <c r="AB31" i="44" s="1"/>
  <c r="Q31" i="44"/>
  <c r="Q29" i="44" s="1"/>
  <c r="O31" i="44"/>
  <c r="O29" i="44" s="1"/>
  <c r="Z30" i="44"/>
  <c r="AB30" i="44" s="1"/>
  <c r="AB29" i="44" s="1"/>
  <c r="S30" i="44"/>
  <c r="P30" i="44"/>
  <c r="AC29" i="44"/>
  <c r="W29" i="44"/>
  <c r="T29" i="44"/>
  <c r="S28" i="44"/>
  <c r="N28" i="44"/>
  <c r="P26" i="44" s="1"/>
  <c r="P24" i="44" s="1"/>
  <c r="S27" i="44"/>
  <c r="P27" i="44"/>
  <c r="W24" i="44"/>
  <c r="I24" i="44"/>
  <c r="AF23" i="44"/>
  <c r="AH23" i="44" s="1"/>
  <c r="AH20" i="44" s="1"/>
  <c r="Z23" i="44"/>
  <c r="AB23" i="44" s="1"/>
  <c r="AB20" i="44" s="1"/>
  <c r="S23" i="44"/>
  <c r="P23" i="44"/>
  <c r="S22" i="44"/>
  <c r="N22" i="44"/>
  <c r="N21" i="44" s="1"/>
  <c r="S21" i="44"/>
  <c r="O21" i="44"/>
  <c r="O19" i="44" s="1"/>
  <c r="S20" i="44"/>
  <c r="P20" i="44"/>
  <c r="AC19" i="44"/>
  <c r="W19" i="44"/>
  <c r="T19" i="44"/>
  <c r="R19" i="44"/>
  <c r="Q19" i="44"/>
  <c r="P18" i="44"/>
  <c r="S17" i="44"/>
  <c r="P17" i="44"/>
  <c r="O16" i="44"/>
  <c r="N14" i="44"/>
  <c r="S15" i="44"/>
  <c r="T14" i="44"/>
  <c r="V14" i="44" s="1"/>
  <c r="K8" i="44"/>
  <c r="S31" i="44" l="1"/>
  <c r="R29" i="44"/>
  <c r="AI69" i="45"/>
  <c r="AI34" i="47"/>
  <c r="AI59" i="44"/>
  <c r="AC12" i="44"/>
  <c r="AA11" i="44"/>
  <c r="AI19" i="45"/>
  <c r="AE129" i="46"/>
  <c r="AI129" i="46" s="1"/>
  <c r="AI149" i="46"/>
  <c r="AF9" i="46"/>
  <c r="AF8" i="46"/>
  <c r="Z12" i="46"/>
  <c r="R11" i="44"/>
  <c r="Z9" i="45"/>
  <c r="Y12" i="45"/>
  <c r="S12" i="47"/>
  <c r="W12" i="45"/>
  <c r="W8" i="45" s="1"/>
  <c r="AC9" i="49"/>
  <c r="AC8" i="49"/>
  <c r="Q9" i="49"/>
  <c r="Q8" i="49"/>
  <c r="S8" i="49"/>
  <c r="S9" i="49"/>
  <c r="Z9" i="49"/>
  <c r="Z8" i="49"/>
  <c r="AF8" i="49"/>
  <c r="AF9" i="49"/>
  <c r="V74" i="49"/>
  <c r="AI74" i="49" s="1"/>
  <c r="V12" i="49"/>
  <c r="V8" i="49" s="1"/>
  <c r="P19" i="49"/>
  <c r="P12" i="49"/>
  <c r="P8" i="49" s="1"/>
  <c r="V12" i="47"/>
  <c r="V8" i="47" s="1"/>
  <c r="AI164" i="47"/>
  <c r="AH9" i="47"/>
  <c r="AE129" i="47"/>
  <c r="AI129" i="47" s="1"/>
  <c r="AD9" i="47"/>
  <c r="AE8" i="47"/>
  <c r="S11" i="47"/>
  <c r="S29" i="47"/>
  <c r="AI29" i="47" s="1"/>
  <c r="P12" i="47"/>
  <c r="P8" i="47" s="1"/>
  <c r="P19" i="47"/>
  <c r="AE9" i="47"/>
  <c r="AB11" i="47"/>
  <c r="AA12" i="47"/>
  <c r="AA8" i="47" s="1"/>
  <c r="AA124" i="47"/>
  <c r="Y69" i="47"/>
  <c r="AI69" i="47" s="1"/>
  <c r="Y12" i="47"/>
  <c r="Y8" i="47" s="1"/>
  <c r="Y9" i="47"/>
  <c r="P9" i="47"/>
  <c r="V9" i="47"/>
  <c r="N12" i="47"/>
  <c r="N8" i="47" s="1"/>
  <c r="AB12" i="47"/>
  <c r="AF8" i="47"/>
  <c r="AF9" i="47"/>
  <c r="AI154" i="46"/>
  <c r="U8" i="46"/>
  <c r="Y8" i="46"/>
  <c r="AD129" i="46"/>
  <c r="AD12" i="46"/>
  <c r="Q12" i="46"/>
  <c r="Q8" i="46" s="1"/>
  <c r="S8" i="46"/>
  <c r="S54" i="46"/>
  <c r="AI54" i="46" s="1"/>
  <c r="L54" i="46"/>
  <c r="Z11" i="46"/>
  <c r="Z19" i="46"/>
  <c r="AD9" i="46"/>
  <c r="AD8" i="46"/>
  <c r="AH9" i="46"/>
  <c r="AH8" i="46"/>
  <c r="V9" i="46"/>
  <c r="V8" i="46"/>
  <c r="Y9" i="46"/>
  <c r="AI19" i="46"/>
  <c r="AA64" i="46"/>
  <c r="AA11" i="46"/>
  <c r="P30" i="46"/>
  <c r="O11" i="46"/>
  <c r="O29" i="46"/>
  <c r="AE9" i="46"/>
  <c r="AE8" i="46"/>
  <c r="AA12" i="46"/>
  <c r="P31" i="46"/>
  <c r="P12" i="46" s="1"/>
  <c r="N29" i="46"/>
  <c r="N12" i="46"/>
  <c r="N8" i="46" s="1"/>
  <c r="AB8" i="46"/>
  <c r="AB9" i="46"/>
  <c r="AD8" i="45"/>
  <c r="AB11" i="45"/>
  <c r="AB9" i="45" s="1"/>
  <c r="AA64" i="45"/>
  <c r="AA11" i="45"/>
  <c r="AA9" i="45" s="1"/>
  <c r="AA124" i="45"/>
  <c r="AA12" i="45"/>
  <c r="P30" i="45"/>
  <c r="O11" i="45"/>
  <c r="O29" i="45"/>
  <c r="AH9" i="45"/>
  <c r="AH8" i="45"/>
  <c r="P31" i="45"/>
  <c r="N29" i="45"/>
  <c r="N12" i="45"/>
  <c r="N8" i="45" s="1"/>
  <c r="V9" i="45"/>
  <c r="V8" i="45"/>
  <c r="AE8" i="45"/>
  <c r="Y8" i="45"/>
  <c r="Y9" i="45"/>
  <c r="S9" i="45"/>
  <c r="P12" i="45"/>
  <c r="AF11" i="45"/>
  <c r="AF89" i="45"/>
  <c r="P34" i="44"/>
  <c r="AI69" i="44"/>
  <c r="AI64" i="44"/>
  <c r="AI134" i="44"/>
  <c r="Y89" i="44"/>
  <c r="AG11" i="44"/>
  <c r="AB78" i="44"/>
  <c r="AB75" i="44" s="1"/>
  <c r="AB74" i="44" s="1"/>
  <c r="AA12" i="44"/>
  <c r="AA8" i="44" s="1"/>
  <c r="O12" i="44"/>
  <c r="AC11" i="44"/>
  <c r="X124" i="44"/>
  <c r="W11" i="44"/>
  <c r="W8" i="44" s="1"/>
  <c r="V11" i="44"/>
  <c r="V9" i="44" s="1"/>
  <c r="AH11" i="44"/>
  <c r="AH8" i="44" s="1"/>
  <c r="AE12" i="44"/>
  <c r="Z12" i="44"/>
  <c r="AB127" i="44"/>
  <c r="AB126" i="44" s="1"/>
  <c r="AB124" i="44" s="1"/>
  <c r="Y11" i="44"/>
  <c r="Y9" i="44" s="1"/>
  <c r="W89" i="44"/>
  <c r="Y29" i="44"/>
  <c r="U11" i="44"/>
  <c r="U9" i="44" s="1"/>
  <c r="AB40" i="44"/>
  <c r="AB39" i="44" s="1"/>
  <c r="Z54" i="44"/>
  <c r="AD11" i="44"/>
  <c r="T12" i="44"/>
  <c r="T8" i="44" s="1"/>
  <c r="X12" i="44"/>
  <c r="S11" i="44"/>
  <c r="AE11" i="44"/>
  <c r="AE8" i="44" s="1"/>
  <c r="U12" i="44"/>
  <c r="X11" i="44"/>
  <c r="X9" i="44" s="1"/>
  <c r="W12" i="44"/>
  <c r="R12" i="44"/>
  <c r="R8" i="44" s="1"/>
  <c r="O11" i="44"/>
  <c r="O8" i="44" s="1"/>
  <c r="P15" i="44"/>
  <c r="P11" i="44" s="1"/>
  <c r="AA129" i="44"/>
  <c r="AB142" i="44"/>
  <c r="AB141" i="44" s="1"/>
  <c r="AB139" i="44" s="1"/>
  <c r="AI139" i="44" s="1"/>
  <c r="M9" i="44"/>
  <c r="N9" i="44"/>
  <c r="T9" i="44"/>
  <c r="Z124" i="44"/>
  <c r="S26" i="44"/>
  <c r="S24" i="44" s="1"/>
  <c r="AA124" i="44"/>
  <c r="AA54" i="44"/>
  <c r="I8" i="44"/>
  <c r="AE79" i="44"/>
  <c r="AI79" i="44" s="1"/>
  <c r="AD84" i="44"/>
  <c r="X89" i="44"/>
  <c r="Y19" i="44"/>
  <c r="AI89" i="44"/>
  <c r="AD79" i="44"/>
  <c r="AA9" i="44"/>
  <c r="AD131" i="44"/>
  <c r="AD129" i="44" s="1"/>
  <c r="S111" i="44"/>
  <c r="S109" i="44" s="1"/>
  <c r="W124" i="44"/>
  <c r="V26" i="44"/>
  <c r="AG19" i="44"/>
  <c r="AB54" i="44"/>
  <c r="AI94" i="44"/>
  <c r="AE84" i="44"/>
  <c r="S116" i="44"/>
  <c r="S114" i="44" s="1"/>
  <c r="S121" i="44"/>
  <c r="S119" i="44" s="1"/>
  <c r="Q9" i="44"/>
  <c r="R9" i="44"/>
  <c r="AH19" i="44"/>
  <c r="Y54" i="44"/>
  <c r="AB19" i="44"/>
  <c r="R14" i="44"/>
  <c r="AA19" i="44"/>
  <c r="AB137" i="44"/>
  <c r="AB136" i="44" s="1"/>
  <c r="AB134" i="44" s="1"/>
  <c r="AF90" i="44"/>
  <c r="AF89" i="44" s="1"/>
  <c r="S18" i="44"/>
  <c r="S16" i="44" s="1"/>
  <c r="Y87" i="44"/>
  <c r="Y86" i="44" s="1"/>
  <c r="Y84" i="44" s="1"/>
  <c r="AB87" i="44"/>
  <c r="AB86" i="44" s="1"/>
  <c r="AB84" i="44" s="1"/>
  <c r="Z20" i="44"/>
  <c r="Z11" i="44" s="1"/>
  <c r="Z8" i="44" s="1"/>
  <c r="AF20" i="44"/>
  <c r="AB129" i="44"/>
  <c r="AE129" i="44"/>
  <c r="AI44" i="44"/>
  <c r="Y124" i="44"/>
  <c r="S76" i="44"/>
  <c r="S19" i="44"/>
  <c r="P28" i="44"/>
  <c r="P77" i="44"/>
  <c r="P76" i="44" s="1"/>
  <c r="P74" i="44" s="1"/>
  <c r="P22" i="44"/>
  <c r="P97" i="44"/>
  <c r="Q16" i="44"/>
  <c r="AF79" i="44"/>
  <c r="S39" i="44"/>
  <c r="AI39" i="44" s="1"/>
  <c r="AC79" i="44"/>
  <c r="P21" i="44"/>
  <c r="Z29" i="44"/>
  <c r="P103" i="44"/>
  <c r="S106" i="44"/>
  <c r="S29" i="44"/>
  <c r="P100" i="44"/>
  <c r="Q54" i="44"/>
  <c r="S79" i="44"/>
  <c r="P86" i="44"/>
  <c r="P84" i="44" s="1"/>
  <c r="R74" i="44"/>
  <c r="S74" i="44" s="1"/>
  <c r="S87" i="44"/>
  <c r="S86" i="44" s="1"/>
  <c r="V76" i="44"/>
  <c r="V74" i="44" s="1"/>
  <c r="M31" i="44"/>
  <c r="P42" i="44"/>
  <c r="P41" i="44" s="1"/>
  <c r="P39" i="44" s="1"/>
  <c r="Q81" i="44"/>
  <c r="Q79" i="44" s="1"/>
  <c r="V29" i="44"/>
  <c r="P31" i="44"/>
  <c r="P29" i="44" s="1"/>
  <c r="S34" i="44"/>
  <c r="AI34" i="44" s="1"/>
  <c r="P106" i="44"/>
  <c r="N39" i="44"/>
  <c r="Q84" i="44"/>
  <c r="S84" i="44" s="1"/>
  <c r="N81" i="44"/>
  <c r="W84" i="44"/>
  <c r="O14" i="44"/>
  <c r="N86" i="44"/>
  <c r="N84" i="44" s="1"/>
  <c r="N19" i="44"/>
  <c r="N29" i="44"/>
  <c r="W9" i="44" l="1"/>
  <c r="AC9" i="44"/>
  <c r="AC8" i="44"/>
  <c r="AG9" i="44"/>
  <c r="AG8" i="44"/>
  <c r="AD9" i="44"/>
  <c r="S8" i="47"/>
  <c r="S9" i="47"/>
  <c r="AB8" i="47"/>
  <c r="AB9" i="47"/>
  <c r="AA9" i="46"/>
  <c r="AA8" i="46"/>
  <c r="P29" i="46"/>
  <c r="AI29" i="46" s="1"/>
  <c r="P11" i="46"/>
  <c r="Z9" i="46"/>
  <c r="Z8" i="46"/>
  <c r="O9" i="46"/>
  <c r="O8" i="46"/>
  <c r="AB8" i="45"/>
  <c r="AA8" i="45"/>
  <c r="AF8" i="45"/>
  <c r="AF9" i="45"/>
  <c r="P29" i="45"/>
  <c r="AI29" i="45" s="1"/>
  <c r="P11" i="45"/>
  <c r="O8" i="45"/>
  <c r="O9" i="45"/>
  <c r="AI29" i="44"/>
  <c r="X8" i="44"/>
  <c r="U8" i="44"/>
  <c r="Q12" i="44"/>
  <c r="Q8" i="44" s="1"/>
  <c r="AF11" i="44"/>
  <c r="AD12" i="44"/>
  <c r="AD8" i="44" s="1"/>
  <c r="N12" i="44"/>
  <c r="N8" i="44" s="1"/>
  <c r="V24" i="44"/>
  <c r="AI24" i="44" s="1"/>
  <c r="V12" i="44"/>
  <c r="V8" i="44" s="1"/>
  <c r="Y12" i="44"/>
  <c r="Y8" i="44" s="1"/>
  <c r="P19" i="44"/>
  <c r="AB11" i="44"/>
  <c r="AB9" i="44" s="1"/>
  <c r="AB12" i="44"/>
  <c r="S12" i="44"/>
  <c r="S8" i="44" s="1"/>
  <c r="O9" i="44"/>
  <c r="AE9" i="44"/>
  <c r="AI124" i="44"/>
  <c r="AI19" i="44"/>
  <c r="S9" i="44"/>
  <c r="P9" i="44"/>
  <c r="AI84" i="44"/>
  <c r="AI129" i="44"/>
  <c r="AH9" i="44"/>
  <c r="P14" i="44"/>
  <c r="Z19" i="44"/>
  <c r="Z9" i="44"/>
  <c r="Q14" i="44"/>
  <c r="AF19" i="44"/>
  <c r="M79" i="44"/>
  <c r="S14" i="44"/>
  <c r="S54" i="44"/>
  <c r="AI54" i="44" s="1"/>
  <c r="L54" i="44"/>
  <c r="P81" i="44"/>
  <c r="P12" i="44" s="1"/>
  <c r="P8" i="44" s="1"/>
  <c r="N79" i="44"/>
  <c r="P8" i="46" l="1"/>
  <c r="P9" i="46"/>
  <c r="P8" i="45"/>
  <c r="P9" i="45"/>
  <c r="AB8" i="44"/>
  <c r="AF9" i="44"/>
  <c r="AF8" i="44"/>
  <c r="M41" i="44"/>
  <c r="M74" i="44"/>
  <c r="AI74" i="44" s="1"/>
  <c r="P79" i="44"/>
  <c r="M29" i="44" l="1"/>
  <c r="M39" i="44"/>
  <c r="M24" i="44" l="1"/>
  <c r="M12" i="44" s="1"/>
  <c r="M8" i="44" s="1"/>
  <c r="L14" i="44"/>
  <c r="L19" i="44"/>
  <c r="L8" i="44" l="1"/>
  <c r="M19" i="44" l="1"/>
</calcChain>
</file>

<file path=xl/sharedStrings.xml><?xml version="1.0" encoding="utf-8"?>
<sst xmlns="http://schemas.openxmlformats.org/spreadsheetml/2006/main" count="1195" uniqueCount="143">
  <si>
    <t>СВЕДЕНИЯ</t>
  </si>
  <si>
    <t>Наименование объектов</t>
  </si>
  <si>
    <t>Дата и номер положительного заключения государственной экспертизы проектов</t>
  </si>
  <si>
    <t>№ п/п</t>
  </si>
  <si>
    <t>Срок ввода в эксплуатацию</t>
  </si>
  <si>
    <t xml:space="preserve">Мощность по проектно-сметной документации </t>
  </si>
  <si>
    <t>км</t>
  </si>
  <si>
    <t>Стоимость в ценах соответствующих лет (тыс.руб)</t>
  </si>
  <si>
    <t xml:space="preserve">Подлежит выполнению до конца строительства </t>
  </si>
  <si>
    <t>из них искусственных сооружений, пог.м</t>
  </si>
  <si>
    <t>Остаток сметной стоимости в ценах соответствующих лет (тыс.руб)</t>
  </si>
  <si>
    <t>2020 год</t>
  </si>
  <si>
    <t>2021 год</t>
  </si>
  <si>
    <t>2022 год</t>
  </si>
  <si>
    <t>в том числе по объектам:</t>
  </si>
  <si>
    <t>№ 43-1-1-0370-09 от 06.11.2009г. (ИИ)</t>
  </si>
  <si>
    <t>отсутствует</t>
  </si>
  <si>
    <t>№ 43-1-5-0173-08 от 19.11.2008г. (ИИ); № 43-1-5-0173-08 от 19.11.2008г. (ПД)</t>
  </si>
  <si>
    <t>Реконструкция моста через реку Немда на км 27+200 автомобильной дороги Кырчаны-Нема-Кильмезь в Немском районе (ОБ)</t>
  </si>
  <si>
    <t>из них искусст. сооруж-я, пог.м.</t>
  </si>
  <si>
    <t>за счет федерального бюджета</t>
  </si>
  <si>
    <t>за счет областного бюджета</t>
  </si>
  <si>
    <t>федеральный бюджет</t>
  </si>
  <si>
    <t>областной бюджет</t>
  </si>
  <si>
    <t>4.1</t>
  </si>
  <si>
    <t>4.2</t>
  </si>
  <si>
    <t>2.1</t>
  </si>
  <si>
    <t>2.2</t>
  </si>
  <si>
    <t>Директор КОГКУ "Дорожный комитет Кировской области</t>
  </si>
  <si>
    <t>Расчетная мощность (протяженность) искусственных сооружений, км</t>
  </si>
  <si>
    <t>Приложение 2-А</t>
  </si>
  <si>
    <t xml:space="preserve">(Справочное) </t>
  </si>
  <si>
    <t>Строительство автомобильной дороги Вятские Поляны-Сосновка-гарница Республики Удмуртия в Вятскополянском районе Кировской области</t>
  </si>
  <si>
    <t>изменения     +, -</t>
  </si>
  <si>
    <t>Строительство и реконструкция объектов  – всего</t>
  </si>
  <si>
    <t>ПИР</t>
  </si>
  <si>
    <t>ст-во объекта</t>
  </si>
  <si>
    <t>Инвестиционные проекты сметной стоимостью менее 100 миллионов рублей (ОБ) (ПИР)</t>
  </si>
  <si>
    <t>Реконструкция автомобильной дороги Кирово-Чепецк - Слободской, на участке от автомобильной дороги Кострома - Шарья - Киров - Пермь до д. Ужоговица в Кировской области</t>
  </si>
  <si>
    <t>реконструкция объекта</t>
  </si>
  <si>
    <t>2023 год</t>
  </si>
  <si>
    <t>2024 год</t>
  </si>
  <si>
    <t>2025 год</t>
  </si>
  <si>
    <t>2019 год учетом изменений</t>
  </si>
  <si>
    <t>строительство объекта</t>
  </si>
  <si>
    <t>2026 год</t>
  </si>
  <si>
    <t>2020 год учетом изменений</t>
  </si>
  <si>
    <t>№ 43-1-1-0527-10 от 06.08.2010 г.
№ 43-1-2-0527-12 от 29.12.2012 г.
№ 43-1-6-0527-12 от 29.12.2012 г.</t>
  </si>
  <si>
    <t>2024 г.</t>
  </si>
  <si>
    <t>2025 г.</t>
  </si>
  <si>
    <t>2026 г.</t>
  </si>
  <si>
    <t>2013-2021 гг.</t>
  </si>
  <si>
    <t>2018-2024 гг.</t>
  </si>
  <si>
    <t>2021 год учетом изменений</t>
  </si>
  <si>
    <r>
      <t xml:space="preserve">Строительство автомобильной дороги Киров-Котлас-Архангельск, участок Опарино-Альмеж в Кировской области всего, в том числе: </t>
    </r>
    <r>
      <rPr>
        <sz val="11"/>
        <color rgb="FFFF0000"/>
        <rFont val="Times New Roman"/>
        <family val="1"/>
        <charset val="204"/>
      </rPr>
      <t>(Опаринский и Подосиновский районы)</t>
    </r>
  </si>
  <si>
    <r>
      <t xml:space="preserve">Строительство автомобильной дороги Кирово-Чепецк - Слободской,  на участке от  мостового перехода через реку Чепца у г. Кирово-Чепецк до д. Ужоговица в Кировской области </t>
    </r>
    <r>
      <rPr>
        <sz val="11"/>
        <color rgb="FFFF0000"/>
        <rFont val="Times New Roman"/>
        <family val="1"/>
        <charset val="204"/>
      </rPr>
      <t>(Кирово-Чепецкий и Слободской районы)</t>
    </r>
  </si>
  <si>
    <r>
      <t>Строительство автомобильной дороги "Западный обход г.Кирова, на участке от моста через реку Вятка у дер. Гнусино до транспортной развязки автомобильной дороги Киров-Советск-Яранск"</t>
    </r>
    <r>
      <rPr>
        <sz val="11"/>
        <color rgb="FFFF0000"/>
        <rFont val="Times New Roman"/>
        <family val="1"/>
        <charset val="204"/>
      </rPr>
      <t xml:space="preserve"> (МО "Город Киров и Кирово-Чепецкий район)</t>
    </r>
  </si>
  <si>
    <r>
      <t xml:space="preserve">Устройство барьерного ограждения на разделительной полосе автомобильной дороги Южный обход г. Кирова </t>
    </r>
    <r>
      <rPr>
        <sz val="11"/>
        <color rgb="FFFF0000"/>
        <rFont val="Times New Roman"/>
        <family val="1"/>
        <charset val="204"/>
      </rPr>
      <t>(МО "Город Киров" и Кирово-Чепецкий район)</t>
    </r>
  </si>
  <si>
    <r>
      <t xml:space="preserve">Реконструкция </t>
    </r>
    <r>
      <rPr>
        <sz val="11"/>
        <color rgb="FF000000"/>
        <rFont val="Times New Roman"/>
        <family val="1"/>
        <charset val="204"/>
      </rPr>
      <t xml:space="preserve">моста через реку Ирючка на км 140+050 автомобильной дороги Казань </t>
    </r>
    <r>
      <rPr>
        <sz val="11"/>
        <color theme="1"/>
        <rFont val="Times New Roman"/>
        <family val="1"/>
        <charset val="204"/>
      </rPr>
      <t xml:space="preserve">– </t>
    </r>
    <r>
      <rPr>
        <sz val="11"/>
        <color rgb="FF000000"/>
        <rFont val="Times New Roman"/>
        <family val="1"/>
        <charset val="204"/>
      </rPr>
      <t>Пермь в Малмыжском районе (замена на водопропускную трубу)</t>
    </r>
  </si>
  <si>
    <t xml:space="preserve">Реконструкция автомобильной дороги  Криуша – Советск – Ле-
бяжье – Вершинята, на участке км 54+600 – км 60+100, в Лебяжском районе Кировской области
Реконструкция автомобильной дороги  Криуша – Советск – Ле-
бяжье – Вершинята, на участке км 54+600 – км 60+100, в Лебяжском районе Кировской области
</t>
  </si>
  <si>
    <t>Проектирование и строительство пешеходных переходов на автомобильной дороге  Казань – Пермь в д. Савали (КЖЦ)</t>
  </si>
  <si>
    <t>Проектирование и строительство пешеходного  перехода на автомобильной дороге Юрья – Великорецкое в с. Великорецкое (КЖЦ)</t>
  </si>
  <si>
    <t>Проектирование и строительство пешеходного  перехода в д. Перевоз на автомобильной Киров-Малмыж-Вятские Поляны (КЖЦ)</t>
  </si>
  <si>
    <t>Незавершенное строит. На 01.01.2019</t>
  </si>
  <si>
    <t>2шт.</t>
  </si>
  <si>
    <t>1шт.</t>
  </si>
  <si>
    <t>2017-2026 гг.</t>
  </si>
  <si>
    <t>2021-2024 гг</t>
  </si>
  <si>
    <r>
      <t>Реконструкция автомобильной дороги Киров-Малмыж-Вятские Поляны</t>
    </r>
    <r>
      <rPr>
        <sz val="11"/>
        <color rgb="FFFF0000"/>
        <rFont val="Times New Roman"/>
        <family val="1"/>
        <charset val="204"/>
      </rPr>
      <t>,</t>
    </r>
    <r>
      <rPr>
        <sz val="11"/>
        <rFont val="Times New Roman"/>
        <family val="1"/>
        <charset val="204"/>
      </rPr>
      <t xml:space="preserve"> участок от границы г. Кирова</t>
    </r>
    <r>
      <rPr>
        <sz val="11"/>
        <color rgb="FF000000"/>
        <rFont val="Times New Roman"/>
        <family val="1"/>
        <charset val="204"/>
      </rPr>
      <t xml:space="preserve"> до примыкания автомобильной дороги Киров-Кирово-Чепецк - Зуевка - Фаленки - граница Удмуртской Республики </t>
    </r>
    <r>
      <rPr>
        <sz val="11"/>
        <color rgb="FFFF0000"/>
        <rFont val="Times New Roman"/>
        <family val="1"/>
        <charset val="204"/>
      </rPr>
      <t xml:space="preserve"> (в название объекта не входит Кирово-Чепецкий район)</t>
    </r>
  </si>
  <si>
    <r>
      <t>Реконструкция автомобильной дороги  Киров-Кирово-Чепецк - Зуевка - Фаленки - граница Удмуртской Республики, на участке от автомобильной дороги Киров-Малмыж-Вятские Поляны до границы г. Кирово-Чепецк</t>
    </r>
    <r>
      <rPr>
        <sz val="11"/>
        <rFont val="Times New Roman"/>
        <family val="1"/>
        <charset val="204"/>
      </rPr>
      <t xml:space="preserve"> (1 участок)   </t>
    </r>
    <r>
      <rPr>
        <sz val="11"/>
        <color rgb="FFFF0000"/>
        <rFont val="Times New Roman"/>
        <family val="1"/>
        <charset val="204"/>
      </rPr>
      <t xml:space="preserve"> (в название объекта не входит Кирово-Чепецкий район)</t>
    </r>
  </si>
  <si>
    <r>
      <t xml:space="preserve">Реконструкция автомобильной дороги  Киров-Кирово-Чепецк - Зуевка - Фаленки - граница Удмуртской Республики, на участке от автомобильной дороги Киров-Малмыж-Вятские Поляны до границы г. Кирово-Чепецк </t>
    </r>
    <r>
      <rPr>
        <sz val="11"/>
        <rFont val="Times New Roman"/>
        <family val="1"/>
        <charset val="204"/>
      </rPr>
      <t xml:space="preserve"> (2 участок)   </t>
    </r>
    <r>
      <rPr>
        <sz val="11"/>
        <color rgb="FFFF0000"/>
        <rFont val="Times New Roman"/>
        <family val="1"/>
        <charset val="204"/>
      </rPr>
      <t>(в название объекта не входит Кирово-Чепецкий район)</t>
    </r>
  </si>
  <si>
    <t>16 п.м</t>
  </si>
  <si>
    <t>федеральный бюджет (стр-во объекта)</t>
  </si>
  <si>
    <t>2022год учетом изменений</t>
  </si>
  <si>
    <t>2023год учетом изменений</t>
  </si>
  <si>
    <t>2024год учетом изменений</t>
  </si>
  <si>
    <t>2025год учетом изменений</t>
  </si>
  <si>
    <t>2026год учетом изменений</t>
  </si>
  <si>
    <r>
      <t xml:space="preserve">Строительство автомобильной дороги Вятские Поляны-Сосновка (участок от Вятских Полян до мостового перехода через реку Вятка) всего, в том числе: </t>
    </r>
    <r>
      <rPr>
        <sz val="11"/>
        <color rgb="FFFF0000"/>
        <rFont val="Times New Roman"/>
        <family val="1"/>
        <charset val="204"/>
      </rPr>
      <t>(Вятскополянский район)</t>
    </r>
  </si>
  <si>
    <t>Строительство  мостового перехода через реку Чепца у г. Зуевка в Зуевском районе Кировской области (ФБ)</t>
  </si>
  <si>
    <t>Строительство  мостового перехода через реку Вятка у д. Цепели на автомобильной дороге Цепели-Русское-Стрижи-Вахренки- Кирово-Чепецк (объездная автомобильная дорога г. Кирова)  в Орловском районе Кировской области (ФБ)</t>
  </si>
  <si>
    <r>
      <t xml:space="preserve">Проектирование и строительство пешеходного  перехода на автомобильной дороге Плотники – Вожгалы - Богородское – Уни в </t>
    </r>
    <r>
      <rPr>
        <b/>
        <sz val="11"/>
        <color theme="1"/>
        <rFont val="Times New Roman"/>
        <family val="1"/>
        <charset val="204"/>
      </rPr>
      <t>с. Верхобыстрица</t>
    </r>
    <r>
      <rPr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(1 пеш.пер.  Lуч.-0,11км КЖЦ)</t>
    </r>
  </si>
  <si>
    <r>
      <t xml:space="preserve">Проектирование и строительство пешеходного  перехода на автомобильной дороге Плотники – Вожгалы - Богородское – Уни в </t>
    </r>
    <r>
      <rPr>
        <b/>
        <sz val="11"/>
        <color theme="1"/>
        <rFont val="Times New Roman"/>
        <family val="1"/>
        <charset val="204"/>
      </rPr>
      <t>с. Спасское</t>
    </r>
    <r>
      <rPr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(1 пеш.пер.  Lуч.-0,11км КЖЦ)</t>
    </r>
  </si>
  <si>
    <t>Нераспределенные средства (ФБ)</t>
  </si>
  <si>
    <t>Строительство автомобильной дороги Уржум-Буйское-граница Республики Марий Эл, участок Буйское-граница Республики Марий Эл в Уржумском районе</t>
  </si>
  <si>
    <t>Объем финансирования, тыс. рублей, в том числе по годам</t>
  </si>
  <si>
    <t>Реконструкция автомобильной дороги Ужоговица-Роговое-Мотоус-Яговкинцы-Зуевка в Кировской области* (ФБ)</t>
  </si>
  <si>
    <r>
      <t xml:space="preserve">Реконструкции моста через реку </t>
    </r>
    <r>
      <rPr>
        <b/>
        <sz val="11"/>
        <color indexed="8"/>
        <rFont val="Calibri"/>
        <family val="2"/>
        <charset val="204"/>
      </rPr>
      <t>Быстрица</t>
    </r>
    <r>
      <rPr>
        <sz val="11"/>
        <color indexed="8"/>
        <rFont val="Calibri"/>
        <family val="2"/>
        <charset val="204"/>
      </rPr>
      <t xml:space="preserve"> на км 29+687 автомобильной дороги  Киров - Советск - Яранск  подъездом к г. Яранск в Оричевском районе (ФБ)</t>
    </r>
  </si>
  <si>
    <r>
      <t xml:space="preserve">Реконструкции моста через реку </t>
    </r>
    <r>
      <rPr>
        <b/>
        <sz val="11"/>
        <color indexed="8"/>
        <rFont val="Calibri"/>
        <family val="2"/>
        <charset val="204"/>
      </rPr>
      <t>Пижма</t>
    </r>
    <r>
      <rPr>
        <sz val="11"/>
        <color indexed="8"/>
        <rFont val="Calibri"/>
        <family val="2"/>
        <charset val="204"/>
      </rPr>
      <t xml:space="preserve"> на км 137+900 автомобильной дороги  Киров - Советск - Яранск  подъездом к г. Яранск в Советском районе (ФБ)</t>
    </r>
  </si>
  <si>
    <r>
      <t xml:space="preserve">Реконструкции моста через реку </t>
    </r>
    <r>
      <rPr>
        <b/>
        <sz val="11"/>
        <color indexed="8"/>
        <rFont val="Calibri"/>
        <family val="2"/>
        <charset val="204"/>
      </rPr>
      <t>Немда</t>
    </r>
    <r>
      <rPr>
        <sz val="11"/>
        <color indexed="8"/>
        <rFont val="Calibri"/>
        <family val="2"/>
        <charset val="204"/>
      </rPr>
      <t xml:space="preserve"> на км 142+700 автомобильной дороги Киров - Советск - Яранск  подъездом к г. Яранск в Советском районе (ФБ)</t>
    </r>
  </si>
  <si>
    <r>
      <t xml:space="preserve">Реконструкции моста через реку </t>
    </r>
    <r>
      <rPr>
        <b/>
        <sz val="11"/>
        <color indexed="8"/>
        <rFont val="Calibri"/>
        <family val="2"/>
        <charset val="204"/>
      </rPr>
      <t>Юг</t>
    </r>
    <r>
      <rPr>
        <sz val="11"/>
        <color indexed="8"/>
        <rFont val="Calibri"/>
        <family val="2"/>
        <charset val="204"/>
      </rPr>
      <t xml:space="preserve"> на км 0+500 автомобильной дороги  Подосиновец - гр. Вологодской области в Лузском районе (ФБ)</t>
    </r>
  </si>
  <si>
    <r>
      <t xml:space="preserve">Реконструкции моста через реку </t>
    </r>
    <r>
      <rPr>
        <b/>
        <sz val="11"/>
        <color indexed="8"/>
        <rFont val="Calibri"/>
        <family val="2"/>
        <charset val="204"/>
      </rPr>
      <t>Вала</t>
    </r>
    <r>
      <rPr>
        <sz val="11"/>
        <color indexed="8"/>
        <rFont val="Calibri"/>
        <family val="2"/>
        <charset val="204"/>
      </rPr>
      <t xml:space="preserve"> на км 225+765 автомобильной дороги Казань - Пермь в Кильмезском районе (ФБ)</t>
    </r>
  </si>
  <si>
    <t>Строительство автомобильной дороги Цепели - Русское - Стрижи - Вахрёнки - Кирово-Чепецк, на участке от мостового перехода через реку Вятка у д. Цепели до  автомобильной дороги Киров - Малмыж - Вятские Поляны (объездная автомобильная дорога г. Кирова) в Кировской области" (ФБ)</t>
  </si>
  <si>
    <t xml:space="preserve"> о проектах, направленных на развитие и увеличение пропускной способности сети автомобильных дорог общего пользования регионального (межмуниципального) значения, осуществляемых в рамках программы Кировской области «Развитие транспортной системы» на 2013-2022 годы </t>
  </si>
  <si>
    <t>нез.</t>
  </si>
  <si>
    <t>Федеральный бюджет с нераспределенным лимитом</t>
  </si>
  <si>
    <t>незавер.</t>
  </si>
  <si>
    <r>
      <t xml:space="preserve">Реконструкция автомобильной дороги Киров-Котлас-Архангельск с подъездами: к пгт Опарино, к пос. Альмеж, к пос. Скрябино, </t>
    </r>
    <r>
      <rPr>
        <b/>
        <sz val="11"/>
        <color rgb="FF000000"/>
        <rFont val="Times New Roman"/>
        <family val="1"/>
        <charset val="204"/>
      </rPr>
      <t xml:space="preserve">участок Вазюк- Опарино </t>
    </r>
    <r>
      <rPr>
        <sz val="11"/>
        <color rgb="FF000000"/>
        <rFont val="Times New Roman"/>
        <family val="1"/>
        <charset val="204"/>
      </rPr>
      <t>в Кировской области</t>
    </r>
    <r>
      <rPr>
        <sz val="11"/>
        <color rgb="FFFF0000"/>
        <rFont val="Times New Roman"/>
        <family val="1"/>
        <charset val="204"/>
      </rPr>
      <t xml:space="preserve"> (Опаринский район )</t>
    </r>
  </si>
  <si>
    <r>
      <t>Реконструкция автомобильной дороги Киров-Котлас-Архангельск с подъездами: к пгт Опарино, к пос. Альмеж, к пос. Скрябино,</t>
    </r>
    <r>
      <rPr>
        <b/>
        <sz val="11"/>
        <rFont val="Times New Roman"/>
        <family val="1"/>
        <charset val="204"/>
      </rPr>
      <t xml:space="preserve"> участок Пинюг- Скрябино</t>
    </r>
    <r>
      <rPr>
        <sz val="11"/>
        <rFont val="Times New Roman"/>
        <family val="1"/>
        <charset val="204"/>
      </rPr>
      <t xml:space="preserve"> в Кировской области </t>
    </r>
    <r>
      <rPr>
        <sz val="11"/>
        <color rgb="FFFF0000"/>
        <rFont val="Times New Roman"/>
        <family val="1"/>
        <charset val="204"/>
      </rPr>
      <t>(Подосиновский район)</t>
    </r>
  </si>
  <si>
    <r>
      <t xml:space="preserve">Строительство автомобильной дороги Киров-Котлас-Архангельск с подъездами: к пгт Опарино, к пос. Альмеж, к пос. Скрябино, участок Пинюг- Верхнемалье в Кировской области </t>
    </r>
    <r>
      <rPr>
        <sz val="11"/>
        <color rgb="FFFF0000"/>
        <rFont val="Times New Roman"/>
        <family val="1"/>
        <charset val="204"/>
      </rPr>
      <t>(Подосиновский район)</t>
    </r>
  </si>
  <si>
    <r>
      <t xml:space="preserve">Проектирование и строительство пешеходного перехода на автомобильной дороге  Афанасьево – Глазов в </t>
    </r>
    <r>
      <rPr>
        <b/>
        <sz val="11"/>
        <color theme="1"/>
        <rFont val="Times New Roman"/>
        <family val="1"/>
        <charset val="204"/>
      </rPr>
      <t>д. Шердынята</t>
    </r>
    <r>
      <rPr>
        <i/>
        <sz val="11"/>
        <color theme="1"/>
        <rFont val="Times New Roman"/>
        <family val="1"/>
        <charset val="204"/>
      </rPr>
      <t xml:space="preserve"> (1 пеш.пер. Lуч.-0,11 км)</t>
    </r>
  </si>
  <si>
    <t xml:space="preserve">ст-во объекта </t>
  </si>
  <si>
    <r>
      <t xml:space="preserve">Строительство мостового перехода через реку Чепца у г. Кирово-Чепецка на автомобильной дороге Кирово-Чепецк - Слободской в Кировской области </t>
    </r>
    <r>
      <rPr>
        <b/>
        <sz val="11"/>
        <color rgb="FFFF0000"/>
        <rFont val="Times New Roman"/>
        <family val="1"/>
        <charset val="204"/>
      </rPr>
      <t>(Кирово-Чепецкий район)</t>
    </r>
  </si>
  <si>
    <t>н/з</t>
  </si>
  <si>
    <t>ст-во объекта (перенос газопровода в 2020г. и отвод земель)</t>
  </si>
  <si>
    <t>на 06.05.2020г.</t>
  </si>
  <si>
    <t>О.Г. Цаава</t>
  </si>
  <si>
    <t>на 02.06.2020</t>
  </si>
  <si>
    <t>на 02.06.2020г.</t>
  </si>
  <si>
    <r>
      <t xml:space="preserve">Реконструкция моста через реку </t>
    </r>
    <r>
      <rPr>
        <b/>
        <sz val="11"/>
        <color indexed="8"/>
        <rFont val="Calibri"/>
        <family val="2"/>
        <charset val="204"/>
      </rPr>
      <t>Немда</t>
    </r>
    <r>
      <rPr>
        <sz val="11"/>
        <color indexed="8"/>
        <rFont val="Calibri"/>
        <family val="2"/>
        <charset val="204"/>
      </rPr>
      <t xml:space="preserve"> на км 142+700 автомобильной дороги Киров - Советск - Яранск  подъездом к г. Яранск в Советском районе (ФБ)</t>
    </r>
  </si>
  <si>
    <r>
      <t xml:space="preserve">Реконструкция моста через реку </t>
    </r>
    <r>
      <rPr>
        <b/>
        <sz val="11"/>
        <color indexed="8"/>
        <rFont val="Calibri"/>
        <family val="2"/>
        <charset val="204"/>
      </rPr>
      <t>Пижма</t>
    </r>
    <r>
      <rPr>
        <sz val="11"/>
        <color indexed="8"/>
        <rFont val="Calibri"/>
        <family val="2"/>
        <charset val="204"/>
      </rPr>
      <t xml:space="preserve"> на км 137+900 автомобильной дороги  Киров - Советск - Яранск  подъездом к г. Яранск в Советском районе (ФБ)</t>
    </r>
  </si>
  <si>
    <r>
      <t xml:space="preserve">Реконструкция моста через реку </t>
    </r>
    <r>
      <rPr>
        <b/>
        <sz val="11"/>
        <color indexed="8"/>
        <rFont val="Calibri"/>
        <family val="2"/>
        <charset val="204"/>
      </rPr>
      <t>Быстрица</t>
    </r>
    <r>
      <rPr>
        <sz val="11"/>
        <color indexed="8"/>
        <rFont val="Calibri"/>
        <family val="2"/>
        <charset val="204"/>
      </rPr>
      <t xml:space="preserve"> на км 29+687 автомобильной дороги  Киров - Советск - Яранск  с подъездом к г. Яранск в Оричевском районе (ФБ)</t>
    </r>
  </si>
  <si>
    <r>
      <t xml:space="preserve">Реконструкция моста через реку </t>
    </r>
    <r>
      <rPr>
        <b/>
        <sz val="11"/>
        <color indexed="8"/>
        <rFont val="Calibri"/>
        <family val="2"/>
        <charset val="204"/>
      </rPr>
      <t>Вала</t>
    </r>
    <r>
      <rPr>
        <sz val="11"/>
        <color indexed="8"/>
        <rFont val="Calibri"/>
        <family val="2"/>
        <charset val="204"/>
      </rPr>
      <t xml:space="preserve"> на км 225+765 автомобильной дороги Казань - Пермь в Кильмезском районе (ФБ)</t>
    </r>
  </si>
  <si>
    <r>
      <t xml:space="preserve">Реконструкция </t>
    </r>
    <r>
      <rPr>
        <sz val="11"/>
        <color rgb="FF000000"/>
        <rFont val="Times New Roman"/>
        <family val="1"/>
        <charset val="204"/>
      </rPr>
      <t xml:space="preserve">моста через реку </t>
    </r>
    <r>
      <rPr>
        <b/>
        <sz val="11"/>
        <color rgb="FF000000"/>
        <rFont val="Times New Roman"/>
        <family val="1"/>
        <charset val="204"/>
      </rPr>
      <t>Ирючка</t>
    </r>
    <r>
      <rPr>
        <sz val="11"/>
        <color rgb="FF000000"/>
        <rFont val="Times New Roman"/>
        <family val="1"/>
        <charset val="204"/>
      </rPr>
      <t xml:space="preserve"> на км 140+050 автомобильной дороги Казань </t>
    </r>
    <r>
      <rPr>
        <sz val="11"/>
        <color theme="1"/>
        <rFont val="Times New Roman"/>
        <family val="1"/>
        <charset val="204"/>
      </rPr>
      <t xml:space="preserve">– </t>
    </r>
    <r>
      <rPr>
        <sz val="11"/>
        <color rgb="FF000000"/>
        <rFont val="Times New Roman"/>
        <family val="1"/>
        <charset val="204"/>
      </rPr>
      <t>Пермь в Малмыжском районе (замена на водопропускную трубу)</t>
    </r>
  </si>
  <si>
    <r>
      <t xml:space="preserve">Проектирование и строительство пешеходного  перехода в д. </t>
    </r>
    <r>
      <rPr>
        <b/>
        <sz val="11"/>
        <color theme="1"/>
        <rFont val="Times New Roman"/>
        <family val="1"/>
        <charset val="204"/>
      </rPr>
      <t xml:space="preserve">Перевоз </t>
    </r>
    <r>
      <rPr>
        <sz val="11"/>
        <color theme="1"/>
        <rFont val="Times New Roman"/>
        <family val="1"/>
        <charset val="204"/>
      </rPr>
      <t>на автомобильной Киров-Малмыж-Вятские Поляны (КЖЦ)</t>
    </r>
  </si>
  <si>
    <r>
      <t xml:space="preserve">Проектирование и строительство пешеходного  перехода на автомобильной дороге Юрья – Великорецкое в с. </t>
    </r>
    <r>
      <rPr>
        <b/>
        <sz val="11"/>
        <color theme="1"/>
        <rFont val="Times New Roman"/>
        <family val="1"/>
        <charset val="204"/>
      </rPr>
      <t>Великорецкое</t>
    </r>
    <r>
      <rPr>
        <sz val="11"/>
        <color theme="1"/>
        <rFont val="Times New Roman"/>
        <family val="1"/>
        <charset val="204"/>
      </rPr>
      <t xml:space="preserve"> (КЖЦ)</t>
    </r>
  </si>
  <si>
    <r>
      <t xml:space="preserve">Проектирование и строительство пешеходных переходов на автомобильной дороге  Казань – Пермь в д. </t>
    </r>
    <r>
      <rPr>
        <b/>
        <sz val="11"/>
        <color theme="1"/>
        <rFont val="Times New Roman"/>
        <family val="1"/>
        <charset val="204"/>
      </rPr>
      <t>Савали (КЖЦ)</t>
    </r>
  </si>
  <si>
    <r>
      <t>Строительство автомобильной дороги "</t>
    </r>
    <r>
      <rPr>
        <b/>
        <sz val="11"/>
        <color rgb="FF000000"/>
        <rFont val="Times New Roman"/>
        <family val="1"/>
        <charset val="204"/>
      </rPr>
      <t>Западный обход г.Кирова</t>
    </r>
    <r>
      <rPr>
        <sz val="11"/>
        <color rgb="FF000000"/>
        <rFont val="Times New Roman"/>
        <family val="1"/>
        <charset val="204"/>
      </rPr>
      <t>, на участке от моста через реку Вятка у дер. Гнусино до транспортной развязки автомобильной дороги Киров-Советск-Яранск"</t>
    </r>
    <r>
      <rPr>
        <sz val="11"/>
        <color rgb="FFFF0000"/>
        <rFont val="Times New Roman"/>
        <family val="1"/>
        <charset val="204"/>
      </rPr>
      <t xml:space="preserve"> (МО "Город Киров и Кирово-Чепецкий район)</t>
    </r>
  </si>
  <si>
    <r>
      <t xml:space="preserve">Реконструкция моста через реку </t>
    </r>
    <r>
      <rPr>
        <b/>
        <sz val="11"/>
        <color indexed="8"/>
        <rFont val="Calibri"/>
        <family val="2"/>
        <charset val="204"/>
      </rPr>
      <t>Юг</t>
    </r>
    <r>
      <rPr>
        <sz val="11"/>
        <color indexed="8"/>
        <rFont val="Calibri"/>
        <family val="2"/>
        <charset val="204"/>
      </rPr>
      <t xml:space="preserve"> на км 0+500 автомобильной дороги  Подосиновец - гр. Вологодской области в Подосиновском районе (ФБ)</t>
    </r>
  </si>
  <si>
    <t>на 05.08.2020г.</t>
  </si>
  <si>
    <r>
      <t xml:space="preserve">Проектирование и строительство пешеходных переходов на автомобильной дороге  Казань – Пермь в д. </t>
    </r>
    <r>
      <rPr>
        <b/>
        <sz val="11"/>
        <color theme="1"/>
        <rFont val="Times New Roman"/>
        <family val="1"/>
        <charset val="204"/>
      </rPr>
      <t>Савали (на принципах жизненного цикла)</t>
    </r>
  </si>
  <si>
    <r>
      <t xml:space="preserve">Проектирование и строительство пешеходного  перехода на автомобильной дороге Юрья – Великорецкое в с. </t>
    </r>
    <r>
      <rPr>
        <b/>
        <sz val="11"/>
        <color theme="1"/>
        <rFont val="Times New Roman"/>
        <family val="1"/>
        <charset val="204"/>
      </rPr>
      <t>Великорецкое</t>
    </r>
    <r>
      <rPr>
        <sz val="11"/>
        <color theme="1"/>
        <rFont val="Times New Roman"/>
        <family val="1"/>
        <charset val="204"/>
      </rPr>
      <t xml:space="preserve"> (на принципах жизненного цикла)</t>
    </r>
  </si>
  <si>
    <r>
      <t xml:space="preserve">Проектирование и строительство пешеходного  перехода в д. </t>
    </r>
    <r>
      <rPr>
        <b/>
        <sz val="11"/>
        <color theme="1"/>
        <rFont val="Times New Roman"/>
        <family val="1"/>
        <charset val="204"/>
      </rPr>
      <t xml:space="preserve">Перевоз </t>
    </r>
    <r>
      <rPr>
        <sz val="11"/>
        <color theme="1"/>
        <rFont val="Times New Roman"/>
        <family val="1"/>
        <charset val="204"/>
      </rPr>
      <t>на автомобильной Киров-Малмыж-Вятские Поляны (на принципах жизненного цикла)</t>
    </r>
  </si>
  <si>
    <r>
      <t xml:space="preserve">Проектирование и строительство пешеходного  перехода на автомобильной дороге Плотники – Вожгалы - Богородское – Уни в </t>
    </r>
    <r>
      <rPr>
        <b/>
        <sz val="11"/>
        <color theme="1"/>
        <rFont val="Times New Roman"/>
        <family val="1"/>
        <charset val="204"/>
      </rPr>
      <t>с. Верхобыстрица</t>
    </r>
    <r>
      <rPr>
        <sz val="11"/>
        <color theme="1"/>
        <rFont val="Times New Roman"/>
        <family val="1"/>
        <charset val="204"/>
      </rPr>
      <t xml:space="preserve">  (на принципах жизненного цикла) </t>
    </r>
    <r>
      <rPr>
        <i/>
        <sz val="11"/>
        <color theme="1"/>
        <rFont val="Times New Roman"/>
        <family val="1"/>
        <charset val="204"/>
      </rPr>
      <t>(1 пеш.пер.  Lуч.-0,11км )</t>
    </r>
  </si>
  <si>
    <r>
      <t xml:space="preserve">Проектирование и строительство пешеходного  перехода на автомобильной дороге Плотники – Вожгалы - Богородское – Уни в </t>
    </r>
    <r>
      <rPr>
        <b/>
        <sz val="11"/>
        <color theme="1"/>
        <rFont val="Times New Roman"/>
        <family val="1"/>
        <charset val="204"/>
      </rPr>
      <t>с. Спасское</t>
    </r>
    <r>
      <rPr>
        <sz val="11"/>
        <color theme="1"/>
        <rFont val="Times New Roman"/>
        <family val="1"/>
        <charset val="204"/>
      </rPr>
      <t xml:space="preserve"> (на принципах жизненного цикла) </t>
    </r>
    <r>
      <rPr>
        <i/>
        <sz val="11"/>
        <color theme="1"/>
        <rFont val="Times New Roman"/>
        <family val="1"/>
        <charset val="204"/>
      </rPr>
      <t>(1 пеш.пер.  Lуч.-0,11км )</t>
    </r>
  </si>
  <si>
    <r>
      <t xml:space="preserve">Проектирование и строительство пешеходного перехода на автомобильной дороге  Афанасьево – Глазов в </t>
    </r>
    <r>
      <rPr>
        <b/>
        <sz val="11"/>
        <color theme="1"/>
        <rFont val="Times New Roman"/>
        <family val="1"/>
        <charset val="204"/>
      </rPr>
      <t>д. Шердынята (на принципах жизненного цикла)</t>
    </r>
    <r>
      <rPr>
        <i/>
        <sz val="11"/>
        <color theme="1"/>
        <rFont val="Times New Roman"/>
        <family val="1"/>
        <charset val="204"/>
      </rPr>
      <t xml:space="preserve"> (1 пеш.пер. Lуч.-0,11 км)</t>
    </r>
  </si>
  <si>
    <r>
      <t xml:space="preserve">Проектирование и реконструкция моста через реку </t>
    </r>
    <r>
      <rPr>
        <b/>
        <sz val="11"/>
        <color indexed="8"/>
        <rFont val="Calibri"/>
        <family val="2"/>
        <charset val="204"/>
      </rPr>
      <t>Быстрица</t>
    </r>
    <r>
      <rPr>
        <sz val="11"/>
        <color indexed="8"/>
        <rFont val="Calibri"/>
        <family val="2"/>
        <charset val="204"/>
      </rPr>
      <t xml:space="preserve"> на км 29+687 автомобильной дороги  Киров - Советск - Яранск  с подъездом к г. Яранск в Оричевском районе (на принципах жизненного цикла)</t>
    </r>
  </si>
  <si>
    <r>
      <t xml:space="preserve">Проектирование и реконструкция моста через реку </t>
    </r>
    <r>
      <rPr>
        <b/>
        <sz val="11"/>
        <color indexed="8"/>
        <rFont val="Calibri"/>
        <family val="2"/>
        <charset val="204"/>
      </rPr>
      <t>Пижма</t>
    </r>
    <r>
      <rPr>
        <sz val="11"/>
        <color indexed="8"/>
        <rFont val="Calibri"/>
        <family val="2"/>
        <charset val="204"/>
      </rPr>
      <t xml:space="preserve"> на км 137+900 автомобильной дороги  Киров - Советск - Яранск  подъездом к г. Яранск в Советском районе (на принципах жизненного цикла)</t>
    </r>
  </si>
  <si>
    <r>
      <t xml:space="preserve">Проектирование и реконструкция моста через реку </t>
    </r>
    <r>
      <rPr>
        <b/>
        <sz val="11"/>
        <color indexed="8"/>
        <rFont val="Calibri"/>
        <family val="2"/>
        <charset val="204"/>
      </rPr>
      <t>Немда</t>
    </r>
    <r>
      <rPr>
        <sz val="11"/>
        <color indexed="8"/>
        <rFont val="Calibri"/>
        <family val="2"/>
        <charset val="204"/>
      </rPr>
      <t xml:space="preserve"> на км 142+700 автомобильной дороги Киров - Советск - Яранск  подъездом к г. Яранск в Советском районе (на принципах жизненного цикла)</t>
    </r>
  </si>
  <si>
    <r>
      <t xml:space="preserve">Проектирование и реконструкция моста через реку </t>
    </r>
    <r>
      <rPr>
        <b/>
        <sz val="11"/>
        <color indexed="8"/>
        <rFont val="Calibri"/>
        <family val="2"/>
        <charset val="204"/>
      </rPr>
      <t>Юг</t>
    </r>
    <r>
      <rPr>
        <sz val="11"/>
        <color indexed="8"/>
        <rFont val="Calibri"/>
        <family val="2"/>
        <charset val="204"/>
      </rPr>
      <t xml:space="preserve"> на км 0+500 автомобильной дороги  Подосиновец - гр. Вологодской области в Подосиновском районе (на принципах жизненного цикла)</t>
    </r>
  </si>
  <si>
    <r>
      <t xml:space="preserve">Проектирование и реконструкция моста через реку </t>
    </r>
    <r>
      <rPr>
        <b/>
        <sz val="11"/>
        <color indexed="8"/>
        <rFont val="Calibri"/>
        <family val="2"/>
        <charset val="204"/>
      </rPr>
      <t>Вала</t>
    </r>
    <r>
      <rPr>
        <sz val="11"/>
        <color indexed="8"/>
        <rFont val="Calibri"/>
        <family val="2"/>
        <charset val="204"/>
      </rPr>
      <t xml:space="preserve"> на км 225+765 автомобильной дороги Казань - Пермь в Кильмезском районе (на принципах жизненного цикла)</t>
    </r>
  </si>
  <si>
    <t>ст-во объекта (перенос газопровода в 2021г. и отвод земель в сумме 21801,5 т.р.)</t>
  </si>
  <si>
    <t>на 15.10.2020</t>
  </si>
  <si>
    <t>на 15.10.2020г.</t>
  </si>
  <si>
    <t>О.Д. Семаков</t>
  </si>
  <si>
    <t xml:space="preserve"> </t>
  </si>
  <si>
    <t xml:space="preserve"> о проектах, направленных на развитие и увеличение пропускной способности сети автомобильных дорог общего пользования регионального (межмуниципального) значения, осуществляемых в рамках программы Кировской области «Развитие транспортной системы» на 2013-2026 годы </t>
  </si>
  <si>
    <t>(пока нет ПИР не будем менять стоимость по интегральной оценке)</t>
  </si>
  <si>
    <t>Проектирование и строительство пешеходного перехода на автомобильной дороге Фаленки –Уни в п. Октябрьский (на принципах жизненного цикла)</t>
  </si>
  <si>
    <r>
      <t xml:space="preserve">Реконструкция моста через реку </t>
    </r>
    <r>
      <rPr>
        <b/>
        <sz val="11"/>
        <color rgb="FFFF0000"/>
        <rFont val="Calibri"/>
        <family val="2"/>
        <charset val="204"/>
      </rPr>
      <t>Пижма</t>
    </r>
    <r>
      <rPr>
        <sz val="11"/>
        <color rgb="FFFF0000"/>
        <rFont val="Calibri"/>
        <family val="2"/>
        <charset val="204"/>
      </rPr>
      <t xml:space="preserve"> на км 137+900 автомобильной дороги  Киров - Советск - Яранск с подъездом к г. Яранск в Советском районе (на принципах жизненного цикла)</t>
    </r>
  </si>
  <si>
    <t>на 25.02.2021г.</t>
  </si>
  <si>
    <t xml:space="preserve">Реконструкция автомобильной дороги  Криуша – Советск – Ле-
бяжье – Вершинята, на участке км 54+600 – км 60+100, в Лебяжском районе Кировской области
</t>
  </si>
  <si>
    <r>
      <t xml:space="preserve">Строительство автомобильной дороги Киров-Котлас-Архангельск, участок </t>
    </r>
    <r>
      <rPr>
        <b/>
        <sz val="11"/>
        <color rgb="FF000000"/>
        <rFont val="Times New Roman"/>
        <family val="1"/>
        <charset val="204"/>
      </rPr>
      <t xml:space="preserve">Опарино-Альмеж </t>
    </r>
    <r>
      <rPr>
        <sz val="11"/>
        <color rgb="FF000000"/>
        <rFont val="Times New Roman"/>
        <family val="1"/>
        <charset val="204"/>
      </rPr>
      <t xml:space="preserve">в Кировской области всего, в том числе: </t>
    </r>
    <r>
      <rPr>
        <sz val="11"/>
        <color rgb="FFFF0000"/>
        <rFont val="Times New Roman"/>
        <family val="1"/>
        <charset val="204"/>
      </rPr>
      <t>(Опаринский и Подосиновский районы)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</si>
</sst>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00"/>
    <numFmt numFmtId="167" formatCode="0.00000"/>
    <numFmt numFmtId="168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0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0" fillId="4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ont="1" applyFill="1" applyBorder="1" applyAlignment="1">
      <alignment horizontal="center"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4" fontId="0" fillId="4" borderId="1" xfId="0" applyNumberFormat="1" applyFill="1" applyBorder="1" applyAlignment="1">
      <alignment vertical="top"/>
    </xf>
    <xf numFmtId="166" fontId="0" fillId="0" borderId="0" xfId="0" applyNumberFormat="1" applyAlignment="1">
      <alignment vertical="top"/>
    </xf>
    <xf numFmtId="0" fontId="6" fillId="0" borderId="1" xfId="0" applyFont="1" applyBorder="1" applyAlignment="1">
      <alignment vertical="top" wrapText="1"/>
    </xf>
    <xf numFmtId="4" fontId="0" fillId="0" borderId="0" xfId="0" applyNumberFormat="1" applyAlignment="1">
      <alignment vertical="top"/>
    </xf>
    <xf numFmtId="4" fontId="0" fillId="0" borderId="0" xfId="0" applyNumberFormat="1"/>
    <xf numFmtId="0" fontId="2" fillId="6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0" fillId="2" borderId="4" xfId="0" applyFont="1" applyFill="1" applyBorder="1" applyAlignment="1">
      <alignment horizontal="center" vertical="top" wrapText="1"/>
    </xf>
    <xf numFmtId="165" fontId="0" fillId="2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0" fillId="3" borderId="1" xfId="0" applyNumberForma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164" fontId="0" fillId="2" borderId="2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0" fillId="3" borderId="0" xfId="0" applyFill="1"/>
    <xf numFmtId="0" fontId="0" fillId="0" borderId="1" xfId="0" applyBorder="1" applyAlignment="1">
      <alignment vertical="top"/>
    </xf>
    <xf numFmtId="0" fontId="0" fillId="4" borderId="1" xfId="0" applyFill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0" fillId="4" borderId="4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0" fillId="7" borderId="4" xfId="0" applyFont="1" applyFill="1" applyBorder="1" applyAlignment="1">
      <alignment horizontal="center" vertical="top" wrapText="1"/>
    </xf>
    <xf numFmtId="4" fontId="2" fillId="7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0" fillId="2" borderId="4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0" fillId="7" borderId="4" xfId="0" applyNumberFormat="1" applyFont="1" applyFill="1" applyBorder="1" applyAlignment="1">
      <alignment horizontal="center" vertical="top" wrapText="1"/>
    </xf>
    <xf numFmtId="4" fontId="3" fillId="7" borderId="1" xfId="0" applyNumberFormat="1" applyFont="1" applyFill="1" applyBorder="1" applyAlignment="1">
      <alignment horizontal="center" vertical="top" wrapText="1"/>
    </xf>
    <xf numFmtId="4" fontId="0" fillId="4" borderId="4" xfId="0" applyNumberFormat="1" applyFont="1" applyFill="1" applyBorder="1" applyAlignment="1">
      <alignment horizontal="center" vertical="top" wrapText="1"/>
    </xf>
    <xf numFmtId="4" fontId="0" fillId="3" borderId="1" xfId="0" applyNumberFormat="1" applyFont="1" applyFill="1" applyBorder="1" applyAlignment="1">
      <alignment vertical="top"/>
    </xf>
    <xf numFmtId="166" fontId="0" fillId="0" borderId="1" xfId="0" applyNumberFormat="1" applyBorder="1" applyAlignment="1">
      <alignment vertical="top"/>
    </xf>
    <xf numFmtId="4" fontId="5" fillId="2" borderId="1" xfId="0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4" fontId="2" fillId="6" borderId="1" xfId="0" applyNumberFormat="1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4" fontId="0" fillId="6" borderId="1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center" vertical="top" wrapText="1"/>
    </xf>
    <xf numFmtId="4" fontId="2" fillId="6" borderId="4" xfId="0" applyNumberFormat="1" applyFont="1" applyFill="1" applyBorder="1" applyAlignment="1">
      <alignment horizontal="center" vertical="top" wrapText="1"/>
    </xf>
    <xf numFmtId="0" fontId="0" fillId="0" borderId="4" xfId="0" applyBorder="1"/>
    <xf numFmtId="164" fontId="3" fillId="2" borderId="6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4" borderId="6" xfId="0" applyNumberFormat="1" applyFont="1" applyFill="1" applyBorder="1" applyAlignment="1">
      <alignment horizontal="center" vertical="top" wrapText="1"/>
    </xf>
    <xf numFmtId="4" fontId="2" fillId="3" borderId="6" xfId="0" applyNumberFormat="1" applyFont="1" applyFill="1" applyBorder="1" applyAlignment="1">
      <alignment horizontal="center" vertical="top" wrapText="1"/>
    </xf>
    <xf numFmtId="4" fontId="2" fillId="4" borderId="6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2" fillId="6" borderId="6" xfId="0" applyNumberFormat="1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0" fontId="0" fillId="0" borderId="6" xfId="0" applyBorder="1"/>
    <xf numFmtId="0" fontId="3" fillId="2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" fontId="2" fillId="7" borderId="4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4" fontId="2" fillId="4" borderId="6" xfId="0" applyNumberFormat="1" applyFont="1" applyFill="1" applyBorder="1" applyAlignment="1">
      <alignment vertical="top" wrapText="1"/>
    </xf>
    <xf numFmtId="4" fontId="2" fillId="2" borderId="6" xfId="0" applyNumberFormat="1" applyFont="1" applyFill="1" applyBorder="1" applyAlignment="1">
      <alignment vertical="top" wrapText="1"/>
    </xf>
    <xf numFmtId="4" fontId="2" fillId="2" borderId="11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5" fontId="2" fillId="4" borderId="6" xfId="0" applyNumberFormat="1" applyFont="1" applyFill="1" applyBorder="1" applyAlignment="1">
      <alignment vertical="top" wrapText="1"/>
    </xf>
    <xf numFmtId="165" fontId="2" fillId="2" borderId="6" xfId="0" applyNumberFormat="1" applyFont="1" applyFill="1" applyBorder="1" applyAlignment="1">
      <alignment vertical="top" wrapText="1"/>
    </xf>
    <xf numFmtId="165" fontId="2" fillId="2" borderId="6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4" borderId="6" xfId="0" applyFont="1" applyFill="1" applyBorder="1" applyAlignment="1">
      <alignment horizontal="center" vertical="top" wrapText="1"/>
    </xf>
    <xf numFmtId="4" fontId="0" fillId="0" borderId="1" xfId="0" applyNumberFormat="1" applyBorder="1" applyAlignment="1">
      <alignment vertical="top"/>
    </xf>
    <xf numFmtId="4" fontId="0" fillId="0" borderId="1" xfId="0" applyNumberFormat="1" applyBorder="1"/>
    <xf numFmtId="4" fontId="0" fillId="4" borderId="1" xfId="0" applyNumberFormat="1" applyFill="1" applyBorder="1"/>
    <xf numFmtId="4" fontId="4" fillId="4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0" fillId="7" borderId="1" xfId="0" applyNumberFormat="1" applyFill="1" applyBorder="1"/>
    <xf numFmtId="4" fontId="0" fillId="6" borderId="1" xfId="0" applyNumberFormat="1" applyFill="1" applyBorder="1" applyAlignment="1">
      <alignment vertical="top"/>
    </xf>
    <xf numFmtId="4" fontId="0" fillId="6" borderId="1" xfId="0" applyNumberFormat="1" applyFill="1" applyBorder="1"/>
    <xf numFmtId="4" fontId="0" fillId="6" borderId="1" xfId="0" applyNumberFormat="1" applyFont="1" applyFill="1" applyBorder="1" applyAlignment="1">
      <alignment vertical="top"/>
    </xf>
    <xf numFmtId="166" fontId="2" fillId="2" borderId="10" xfId="0" applyNumberFormat="1" applyFont="1" applyFill="1" applyBorder="1" applyAlignment="1">
      <alignment vertical="top" wrapText="1"/>
    </xf>
    <xf numFmtId="166" fontId="2" fillId="3" borderId="1" xfId="0" applyNumberFormat="1" applyFont="1" applyFill="1" applyBorder="1" applyAlignment="1">
      <alignment horizontal="center" vertical="top" wrapText="1"/>
    </xf>
    <xf numFmtId="0" fontId="8" fillId="0" borderId="0" xfId="0" applyFont="1"/>
    <xf numFmtId="4" fontId="7" fillId="7" borderId="6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165" fontId="4" fillId="2" borderId="6" xfId="0" applyNumberFormat="1" applyFont="1" applyFill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horizontal="center" vertical="top" wrapText="1"/>
    </xf>
    <xf numFmtId="4" fontId="0" fillId="0" borderId="1" xfId="0" applyNumberFormat="1" applyFont="1" applyBorder="1"/>
    <xf numFmtId="4" fontId="0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0" fillId="4" borderId="0" xfId="0" applyFill="1"/>
    <xf numFmtId="4" fontId="4" fillId="3" borderId="1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0" fillId="4" borderId="5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0" fillId="0" borderId="5" xfId="0" applyBorder="1"/>
    <xf numFmtId="167" fontId="2" fillId="2" borderId="1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0" fillId="2" borderId="3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64" fontId="0" fillId="2" borderId="9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0" fontId="0" fillId="5" borderId="0" xfId="0" applyFill="1"/>
    <xf numFmtId="4" fontId="4" fillId="0" borderId="1" xfId="0" applyNumberFormat="1" applyFont="1" applyBorder="1" applyAlignment="1">
      <alignment vertical="top"/>
    </xf>
    <xf numFmtId="166" fontId="2" fillId="6" borderId="1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11" fillId="0" borderId="1" xfId="0" applyNumberFormat="1" applyFont="1" applyBorder="1"/>
    <xf numFmtId="4" fontId="4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4" fontId="0" fillId="3" borderId="1" xfId="0" applyNumberFormat="1" applyFill="1" applyBorder="1"/>
    <xf numFmtId="4" fontId="7" fillId="3" borderId="6" xfId="0" applyNumberFormat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4" borderId="4" xfId="0" applyNumberFormat="1" applyFont="1" applyFill="1" applyBorder="1" applyAlignment="1">
      <alignment horizontal="center" vertical="top" wrapText="1"/>
    </xf>
    <xf numFmtId="4" fontId="3" fillId="7" borderId="4" xfId="0" applyNumberFormat="1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center" vertical="top" wrapText="1"/>
    </xf>
    <xf numFmtId="4" fontId="0" fillId="0" borderId="4" xfId="0" applyNumberFormat="1" applyBorder="1"/>
    <xf numFmtId="4" fontId="3" fillId="2" borderId="6" xfId="0" applyNumberFormat="1" applyFont="1" applyFill="1" applyBorder="1" applyAlignment="1">
      <alignment horizontal="center" vertical="top" wrapText="1"/>
    </xf>
    <xf numFmtId="4" fontId="5" fillId="2" borderId="6" xfId="0" applyNumberFormat="1" applyFont="1" applyFill="1" applyBorder="1" applyAlignment="1">
      <alignment vertical="top" wrapText="1"/>
    </xf>
    <xf numFmtId="4" fontId="3" fillId="4" borderId="6" xfId="0" applyNumberFormat="1" applyFont="1" applyFill="1" applyBorder="1" applyAlignment="1">
      <alignment horizontal="center" vertical="top" wrapText="1"/>
    </xf>
    <xf numFmtId="4" fontId="3" fillId="7" borderId="6" xfId="0" applyNumberFormat="1" applyFont="1" applyFill="1" applyBorder="1" applyAlignment="1">
      <alignment horizontal="center" vertical="top" wrapText="1"/>
    </xf>
    <xf numFmtId="4" fontId="10" fillId="2" borderId="6" xfId="0" applyNumberFormat="1" applyFont="1" applyFill="1" applyBorder="1" applyAlignment="1">
      <alignment horizontal="center" vertical="top" wrapText="1"/>
    </xf>
    <xf numFmtId="4" fontId="0" fillId="0" borderId="6" xfId="0" applyNumberFormat="1" applyBorder="1"/>
    <xf numFmtId="166" fontId="2" fillId="3" borderId="4" xfId="0" applyNumberFormat="1" applyFont="1" applyFill="1" applyBorder="1" applyAlignment="1">
      <alignment horizontal="center" vertical="top" wrapText="1"/>
    </xf>
    <xf numFmtId="166" fontId="2" fillId="4" borderId="4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4" fillId="2" borderId="4" xfId="0" applyNumberFormat="1" applyFont="1" applyFill="1" applyBorder="1" applyAlignment="1">
      <alignment horizontal="center" vertical="top" wrapText="1"/>
    </xf>
    <xf numFmtId="4" fontId="0" fillId="4" borderId="4" xfId="0" applyNumberFormat="1" applyFill="1" applyBorder="1" applyAlignment="1">
      <alignment vertical="top"/>
    </xf>
    <xf numFmtId="4" fontId="0" fillId="3" borderId="4" xfId="0" applyNumberFormat="1" applyFill="1" applyBorder="1" applyAlignment="1">
      <alignment vertical="top"/>
    </xf>
    <xf numFmtId="4" fontId="0" fillId="3" borderId="4" xfId="0" applyNumberFormat="1" applyFont="1" applyFill="1" applyBorder="1" applyAlignment="1">
      <alignment vertical="top"/>
    </xf>
    <xf numFmtId="4" fontId="0" fillId="0" borderId="4" xfId="0" applyNumberFormat="1" applyFont="1" applyBorder="1" applyAlignment="1">
      <alignment vertical="top"/>
    </xf>
    <xf numFmtId="4" fontId="4" fillId="0" borderId="4" xfId="0" applyNumberFormat="1" applyFont="1" applyBorder="1" applyAlignment="1">
      <alignment vertical="top"/>
    </xf>
    <xf numFmtId="4" fontId="0" fillId="6" borderId="4" xfId="0" applyNumberFormat="1" applyFill="1" applyBorder="1" applyAlignment="1">
      <alignment vertical="top"/>
    </xf>
    <xf numFmtId="4" fontId="0" fillId="6" borderId="4" xfId="0" applyNumberFormat="1" applyFont="1" applyFill="1" applyBorder="1" applyAlignment="1">
      <alignment vertical="top"/>
    </xf>
    <xf numFmtId="166" fontId="2" fillId="3" borderId="6" xfId="0" applyNumberFormat="1" applyFont="1" applyFill="1" applyBorder="1" applyAlignment="1">
      <alignment horizontal="center" vertical="top" wrapText="1"/>
    </xf>
    <xf numFmtId="4" fontId="0" fillId="0" borderId="4" xfId="0" applyNumberFormat="1" applyBorder="1" applyAlignment="1">
      <alignment vertical="top"/>
    </xf>
    <xf numFmtId="4" fontId="0" fillId="4" borderId="4" xfId="0" applyNumberFormat="1" applyFill="1" applyBorder="1"/>
    <xf numFmtId="4" fontId="4" fillId="4" borderId="4" xfId="0" applyNumberFormat="1" applyFont="1" applyFill="1" applyBorder="1" applyAlignment="1">
      <alignment horizontal="center" vertical="top"/>
    </xf>
    <xf numFmtId="4" fontId="4" fillId="3" borderId="4" xfId="0" applyNumberFormat="1" applyFont="1" applyFill="1" applyBorder="1" applyAlignment="1">
      <alignment horizontal="center" vertical="top"/>
    </xf>
    <xf numFmtId="4" fontId="4" fillId="3" borderId="4" xfId="0" applyNumberFormat="1" applyFont="1" applyFill="1" applyBorder="1" applyAlignment="1">
      <alignment horizontal="center" vertical="center"/>
    </xf>
    <xf numFmtId="4" fontId="0" fillId="0" borderId="4" xfId="0" applyNumberFormat="1" applyFont="1" applyBorder="1"/>
    <xf numFmtId="4" fontId="0" fillId="4" borderId="6" xfId="0" applyNumberFormat="1" applyFill="1" applyBorder="1" applyAlignment="1">
      <alignment vertical="top"/>
    </xf>
    <xf numFmtId="4" fontId="0" fillId="3" borderId="6" xfId="0" applyNumberFormat="1" applyFill="1" applyBorder="1" applyAlignment="1">
      <alignment vertical="top"/>
    </xf>
    <xf numFmtId="4" fontId="0" fillId="3" borderId="6" xfId="0" applyNumberFormat="1" applyFont="1" applyFill="1" applyBorder="1" applyAlignment="1">
      <alignment vertical="top"/>
    </xf>
    <xf numFmtId="4" fontId="3" fillId="3" borderId="6" xfId="0" applyNumberFormat="1" applyFont="1" applyFill="1" applyBorder="1" applyAlignment="1">
      <alignment horizontal="center" vertical="top" wrapText="1"/>
    </xf>
    <xf numFmtId="4" fontId="0" fillId="0" borderId="6" xfId="0" applyNumberFormat="1" applyFont="1" applyBorder="1" applyAlignment="1">
      <alignment vertical="top"/>
    </xf>
    <xf numFmtId="4" fontId="4" fillId="0" borderId="6" xfId="0" applyNumberFormat="1" applyFont="1" applyBorder="1" applyAlignment="1">
      <alignment vertical="top"/>
    </xf>
    <xf numFmtId="4" fontId="0" fillId="6" borderId="6" xfId="0" applyNumberFormat="1" applyFill="1" applyBorder="1" applyAlignment="1">
      <alignment vertical="top"/>
    </xf>
    <xf numFmtId="4" fontId="0" fillId="6" borderId="6" xfId="0" applyNumberFormat="1" applyFont="1" applyFill="1" applyBorder="1" applyAlignment="1">
      <alignment vertical="top"/>
    </xf>
    <xf numFmtId="4" fontId="4" fillId="3" borderId="4" xfId="0" applyNumberFormat="1" applyFont="1" applyFill="1" applyBorder="1" applyAlignment="1">
      <alignment horizontal="center"/>
    </xf>
    <xf numFmtId="4" fontId="0" fillId="3" borderId="4" xfId="0" applyNumberFormat="1" applyFill="1" applyBorder="1"/>
    <xf numFmtId="4" fontId="4" fillId="0" borderId="4" xfId="0" applyNumberFormat="1" applyFont="1" applyBorder="1" applyAlignment="1">
      <alignment horizontal="center" vertical="center"/>
    </xf>
    <xf numFmtId="4" fontId="0" fillId="6" borderId="4" xfId="0" applyNumberFormat="1" applyFill="1" applyBorder="1"/>
    <xf numFmtId="4" fontId="0" fillId="0" borderId="6" xfId="0" applyNumberFormat="1" applyBorder="1" applyAlignment="1">
      <alignment vertical="top"/>
    </xf>
    <xf numFmtId="4" fontId="0" fillId="4" borderId="6" xfId="0" applyNumberFormat="1" applyFill="1" applyBorder="1"/>
    <xf numFmtId="4" fontId="4" fillId="4" borderId="6" xfId="0" applyNumberFormat="1" applyFont="1" applyFill="1" applyBorder="1" applyAlignment="1">
      <alignment horizontal="center" vertical="top"/>
    </xf>
    <xf numFmtId="4" fontId="4" fillId="3" borderId="6" xfId="0" applyNumberFormat="1" applyFont="1" applyFill="1" applyBorder="1" applyAlignment="1">
      <alignment horizontal="center" vertical="top"/>
    </xf>
    <xf numFmtId="4" fontId="4" fillId="3" borderId="6" xfId="0" applyNumberFormat="1" applyFont="1" applyFill="1" applyBorder="1" applyAlignment="1">
      <alignment horizontal="center" vertical="center"/>
    </xf>
    <xf numFmtId="4" fontId="0" fillId="0" borderId="6" xfId="0" applyNumberFormat="1" applyFont="1" applyBorder="1"/>
    <xf numFmtId="4" fontId="0" fillId="7" borderId="4" xfId="0" applyNumberFormat="1" applyFill="1" applyBorder="1"/>
    <xf numFmtId="4" fontId="11" fillId="0" borderId="4" xfId="0" applyNumberFormat="1" applyFont="1" applyBorder="1"/>
    <xf numFmtId="4" fontId="4" fillId="3" borderId="6" xfId="0" applyNumberFormat="1" applyFont="1" applyFill="1" applyBorder="1" applyAlignment="1">
      <alignment horizontal="center"/>
    </xf>
    <xf numFmtId="4" fontId="0" fillId="3" borderId="6" xfId="0" applyNumberFormat="1" applyFill="1" applyBorder="1"/>
    <xf numFmtId="4" fontId="4" fillId="0" borderId="6" xfId="0" applyNumberFormat="1" applyFont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top" wrapText="1"/>
    </xf>
    <xf numFmtId="166" fontId="0" fillId="4" borderId="4" xfId="0" applyNumberFormat="1" applyFill="1" applyBorder="1" applyAlignment="1">
      <alignment vertical="top"/>
    </xf>
    <xf numFmtId="166" fontId="0" fillId="0" borderId="4" xfId="0" applyNumberFormat="1" applyBorder="1" applyAlignment="1">
      <alignment vertical="top"/>
    </xf>
    <xf numFmtId="4" fontId="0" fillId="7" borderId="6" xfId="0" applyNumberFormat="1" applyFill="1" applyBorder="1"/>
    <xf numFmtId="4" fontId="11" fillId="0" borderId="6" xfId="0" applyNumberFormat="1" applyFont="1" applyBorder="1"/>
    <xf numFmtId="164" fontId="0" fillId="0" borderId="1" xfId="0" applyNumberFormat="1" applyBorder="1" applyAlignment="1">
      <alignment vertical="top"/>
    </xf>
    <xf numFmtId="0" fontId="0" fillId="4" borderId="1" xfId="0" applyFill="1" applyBorder="1"/>
    <xf numFmtId="0" fontId="0" fillId="0" borderId="6" xfId="0" applyBorder="1" applyAlignment="1">
      <alignment vertical="top"/>
    </xf>
    <xf numFmtId="0" fontId="0" fillId="3" borderId="6" xfId="0" applyFill="1" applyBorder="1"/>
    <xf numFmtId="0" fontId="0" fillId="4" borderId="6" xfId="0" applyFill="1" applyBorder="1"/>
    <xf numFmtId="0" fontId="0" fillId="3" borderId="1" xfId="0" applyFill="1" applyBorder="1" applyAlignment="1">
      <alignment vertical="top"/>
    </xf>
    <xf numFmtId="166" fontId="0" fillId="3" borderId="1" xfId="0" applyNumberFormat="1" applyFill="1" applyBorder="1" applyAlignment="1">
      <alignment vertical="top"/>
    </xf>
    <xf numFmtId="4" fontId="4" fillId="0" borderId="0" xfId="0" applyNumberFormat="1" applyFont="1" applyAlignment="1">
      <alignment horizontal="center" vertical="top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5" fontId="2" fillId="3" borderId="4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top" wrapText="1"/>
    </xf>
    <xf numFmtId="165" fontId="2" fillId="4" borderId="4" xfId="0" applyNumberFormat="1" applyFont="1" applyFill="1" applyBorder="1" applyAlignment="1">
      <alignment horizontal="center" vertical="top" wrapText="1"/>
    </xf>
    <xf numFmtId="166" fontId="0" fillId="4" borderId="1" xfId="0" applyNumberFormat="1" applyFill="1" applyBorder="1" applyAlignment="1">
      <alignment vertical="top"/>
    </xf>
    <xf numFmtId="0" fontId="4" fillId="0" borderId="15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4" fontId="4" fillId="2" borderId="6" xfId="0" applyNumberFormat="1" applyFont="1" applyFill="1" applyBorder="1" applyAlignment="1">
      <alignment horizontal="center" vertical="top" wrapText="1"/>
    </xf>
    <xf numFmtId="168" fontId="7" fillId="3" borderId="10" xfId="0" applyNumberFormat="1" applyFont="1" applyFill="1" applyBorder="1" applyAlignment="1">
      <alignment vertical="top" wrapText="1"/>
    </xf>
    <xf numFmtId="4" fontId="4" fillId="3" borderId="4" xfId="0" applyNumberFormat="1" applyFont="1" applyFill="1" applyBorder="1" applyAlignment="1">
      <alignment vertical="top"/>
    </xf>
    <xf numFmtId="4" fontId="4" fillId="4" borderId="4" xfId="0" applyNumberFormat="1" applyFont="1" applyFill="1" applyBorder="1" applyAlignment="1">
      <alignment vertical="top"/>
    </xf>
    <xf numFmtId="4" fontId="4" fillId="4" borderId="1" xfId="0" applyNumberFormat="1" applyFont="1" applyFill="1" applyBorder="1" applyAlignment="1">
      <alignment vertical="top"/>
    </xf>
    <xf numFmtId="4" fontId="4" fillId="4" borderId="6" xfId="0" applyNumberFormat="1" applyFont="1" applyFill="1" applyBorder="1" applyAlignment="1">
      <alignment vertical="top"/>
    </xf>
    <xf numFmtId="4" fontId="4" fillId="3" borderId="6" xfId="0" applyNumberFormat="1" applyFont="1" applyFill="1" applyBorder="1" applyAlignment="1">
      <alignment vertical="top"/>
    </xf>
    <xf numFmtId="4" fontId="4" fillId="3" borderId="1" xfId="0" applyNumberFormat="1" applyFont="1" applyFill="1" applyBorder="1" applyAlignment="1">
      <alignment vertical="top"/>
    </xf>
    <xf numFmtId="4" fontId="0" fillId="8" borderId="4" xfId="0" applyNumberFormat="1" applyFill="1" applyBorder="1" applyAlignment="1">
      <alignment vertical="top"/>
    </xf>
    <xf numFmtId="166" fontId="0" fillId="8" borderId="1" xfId="0" applyNumberFormat="1" applyFill="1" applyBorder="1" applyAlignment="1">
      <alignment vertical="top"/>
    </xf>
    <xf numFmtId="0" fontId="0" fillId="8" borderId="6" xfId="0" applyFill="1" applyBorder="1"/>
    <xf numFmtId="166" fontId="0" fillId="0" borderId="6" xfId="0" applyNumberFormat="1" applyBorder="1"/>
    <xf numFmtId="166" fontId="0" fillId="0" borderId="6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4" fontId="0" fillId="5" borderId="0" xfId="0" applyNumberFormat="1" applyFill="1" applyAlignment="1">
      <alignment vertical="top"/>
    </xf>
    <xf numFmtId="165" fontId="2" fillId="4" borderId="1" xfId="0" applyNumberFormat="1" applyFont="1" applyFill="1" applyBorder="1" applyAlignment="1">
      <alignment horizontal="center" vertical="top" wrapText="1"/>
    </xf>
    <xf numFmtId="166" fontId="0" fillId="3" borderId="6" xfId="0" applyNumberFormat="1" applyFill="1" applyBorder="1" applyAlignment="1">
      <alignment vertical="top"/>
    </xf>
    <xf numFmtId="4" fontId="0" fillId="4" borderId="4" xfId="0" applyNumberFormat="1" applyFill="1" applyBorder="1" applyAlignment="1">
      <alignment horizontal="center" vertical="top"/>
    </xf>
    <xf numFmtId="4" fontId="0" fillId="3" borderId="4" xfId="0" applyNumberFormat="1" applyFill="1" applyBorder="1" applyAlignment="1">
      <alignment horizontal="center" vertical="top"/>
    </xf>
    <xf numFmtId="166" fontId="0" fillId="6" borderId="1" xfId="0" applyNumberFormat="1" applyFill="1" applyBorder="1" applyAlignment="1">
      <alignment vertical="top"/>
    </xf>
    <xf numFmtId="166" fontId="0" fillId="6" borderId="6" xfId="0" applyNumberFormat="1" applyFill="1" applyBorder="1" applyAlignment="1">
      <alignment vertical="top"/>
    </xf>
    <xf numFmtId="165" fontId="4" fillId="4" borderId="6" xfId="0" applyNumberFormat="1" applyFont="1" applyFill="1" applyBorder="1" applyAlignment="1">
      <alignment horizontal="center" vertical="top" wrapText="1"/>
    </xf>
    <xf numFmtId="165" fontId="4" fillId="4" borderId="4" xfId="0" applyNumberFormat="1" applyFont="1" applyFill="1" applyBorder="1" applyAlignment="1">
      <alignment horizontal="center" vertical="top" wrapText="1"/>
    </xf>
    <xf numFmtId="165" fontId="0" fillId="4" borderId="4" xfId="0" applyNumberFormat="1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top" wrapText="1"/>
    </xf>
    <xf numFmtId="4" fontId="10" fillId="4" borderId="6" xfId="0" applyNumberFormat="1" applyFont="1" applyFill="1" applyBorder="1" applyAlignment="1">
      <alignment horizontal="center" vertical="top" wrapText="1"/>
    </xf>
    <xf numFmtId="4" fontId="10" fillId="4" borderId="4" xfId="0" applyNumberFormat="1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4" fontId="4" fillId="4" borderId="4" xfId="0" applyNumberFormat="1" applyFont="1" applyFill="1" applyBorder="1" applyAlignment="1">
      <alignment horizontal="center" vertical="top" wrapText="1"/>
    </xf>
    <xf numFmtId="4" fontId="0" fillId="4" borderId="4" xfId="0" applyNumberFormat="1" applyFont="1" applyFill="1" applyBorder="1" applyAlignment="1">
      <alignment vertical="top"/>
    </xf>
    <xf numFmtId="4" fontId="0" fillId="4" borderId="1" xfId="0" applyNumberFormat="1" applyFont="1" applyFill="1" applyBorder="1" applyAlignment="1">
      <alignment vertical="top"/>
    </xf>
    <xf numFmtId="4" fontId="0" fillId="4" borderId="6" xfId="0" applyNumberFormat="1" applyFont="1" applyFill="1" applyBorder="1" applyAlignment="1">
      <alignment vertical="top"/>
    </xf>
    <xf numFmtId="4" fontId="0" fillId="4" borderId="4" xfId="0" applyNumberFormat="1" applyFont="1" applyFill="1" applyBorder="1"/>
    <xf numFmtId="4" fontId="0" fillId="4" borderId="6" xfId="0" applyNumberFormat="1" applyFont="1" applyFill="1" applyBorder="1"/>
    <xf numFmtId="4" fontId="0" fillId="4" borderId="6" xfId="0" applyNumberFormat="1" applyFill="1" applyBorder="1" applyAlignment="1">
      <alignment horizontal="center" vertical="top"/>
    </xf>
    <xf numFmtId="166" fontId="3" fillId="2" borderId="6" xfId="0" applyNumberFormat="1" applyFont="1" applyFill="1" applyBorder="1" applyAlignment="1">
      <alignment horizontal="center" vertical="top" wrapText="1"/>
    </xf>
    <xf numFmtId="166" fontId="0" fillId="4" borderId="6" xfId="0" applyNumberFormat="1" applyFill="1" applyBorder="1" applyAlignment="1">
      <alignment vertical="top"/>
    </xf>
    <xf numFmtId="4" fontId="0" fillId="3" borderId="6" xfId="0" applyNumberFormat="1" applyFill="1" applyBorder="1" applyAlignment="1">
      <alignment horizontal="center" vertical="top"/>
    </xf>
    <xf numFmtId="4" fontId="5" fillId="2" borderId="5" xfId="0" applyNumberFormat="1" applyFont="1" applyFill="1" applyBorder="1" applyAlignment="1">
      <alignment vertical="top" wrapText="1"/>
    </xf>
    <xf numFmtId="4" fontId="0" fillId="0" borderId="4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0" fillId="3" borderId="6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Border="1" applyAlignment="1">
      <alignment vertical="top" wrapText="1"/>
    </xf>
    <xf numFmtId="4" fontId="5" fillId="2" borderId="18" xfId="0" applyNumberFormat="1" applyFont="1" applyFill="1" applyBorder="1" applyAlignment="1">
      <alignment vertical="top" wrapText="1"/>
    </xf>
    <xf numFmtId="166" fontId="2" fillId="4" borderId="6" xfId="0" applyNumberFormat="1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166" fontId="0" fillId="3" borderId="0" xfId="0" applyNumberFormat="1" applyFill="1" applyAlignment="1">
      <alignment vertical="top"/>
    </xf>
    <xf numFmtId="166" fontId="0" fillId="0" borderId="1" xfId="0" applyNumberFormat="1" applyBorder="1" applyAlignment="1"/>
    <xf numFmtId="166" fontId="0" fillId="0" borderId="4" xfId="0" applyNumberFormat="1" applyBorder="1" applyAlignment="1"/>
    <xf numFmtId="168" fontId="2" fillId="2" borderId="6" xfId="0" applyNumberFormat="1" applyFont="1" applyFill="1" applyBorder="1" applyAlignment="1">
      <alignment horizontal="center" vertical="top" wrapText="1"/>
    </xf>
    <xf numFmtId="4" fontId="0" fillId="3" borderId="0" xfId="0" applyNumberFormat="1" applyFill="1" applyAlignment="1">
      <alignment vertical="top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19" xfId="0" applyNumberFormat="1" applyFont="1" applyFill="1" applyBorder="1" applyAlignment="1">
      <alignment horizontal="center" vertical="top" wrapText="1"/>
    </xf>
    <xf numFmtId="4" fontId="3" fillId="2" borderId="18" xfId="0" applyNumberFormat="1" applyFont="1" applyFill="1" applyBorder="1" applyAlignment="1">
      <alignment horizontal="center" vertical="top" wrapText="1"/>
    </xf>
    <xf numFmtId="166" fontId="2" fillId="6" borderId="4" xfId="0" applyNumberFormat="1" applyFont="1" applyFill="1" applyBorder="1" applyAlignment="1">
      <alignment horizontal="center" vertical="top" wrapText="1"/>
    </xf>
    <xf numFmtId="4" fontId="2" fillId="2" borderId="19" xfId="0" applyNumberFormat="1" applyFont="1" applyFill="1" applyBorder="1" applyAlignment="1">
      <alignment horizontal="center" vertical="top" wrapText="1"/>
    </xf>
    <xf numFmtId="4" fontId="2" fillId="3" borderId="19" xfId="0" applyNumberFormat="1" applyFont="1" applyFill="1" applyBorder="1" applyAlignment="1">
      <alignment horizontal="center" vertical="top" wrapText="1"/>
    </xf>
    <xf numFmtId="4" fontId="0" fillId="3" borderId="19" xfId="0" applyNumberFormat="1" applyFill="1" applyBorder="1" applyAlignment="1">
      <alignment vertical="top"/>
    </xf>
    <xf numFmtId="4" fontId="0" fillId="0" borderId="19" xfId="0" applyNumberFormat="1" applyBorder="1" applyAlignment="1">
      <alignment vertical="top"/>
    </xf>
    <xf numFmtId="4" fontId="0" fillId="4" borderId="19" xfId="0" applyNumberFormat="1" applyFill="1" applyBorder="1"/>
    <xf numFmtId="0" fontId="4" fillId="3" borderId="1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4" fontId="16" fillId="3" borderId="6" xfId="0" applyNumberFormat="1" applyFont="1" applyFill="1" applyBorder="1" applyAlignment="1">
      <alignment horizontal="center" vertical="top" wrapText="1"/>
    </xf>
    <xf numFmtId="166" fontId="3" fillId="3" borderId="4" xfId="0" applyNumberFormat="1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top" wrapText="1"/>
    </xf>
    <xf numFmtId="166" fontId="3" fillId="3" borderId="6" xfId="0" applyNumberFormat="1" applyFont="1" applyFill="1" applyBorder="1" applyAlignment="1">
      <alignment horizontal="center" vertical="top" wrapText="1"/>
    </xf>
    <xf numFmtId="166" fontId="3" fillId="3" borderId="19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vertical="top"/>
    </xf>
    <xf numFmtId="4" fontId="5" fillId="3" borderId="19" xfId="0" applyNumberFormat="1" applyFont="1" applyFill="1" applyBorder="1" applyAlignment="1">
      <alignment vertical="top"/>
    </xf>
    <xf numFmtId="4" fontId="5" fillId="3" borderId="4" xfId="0" applyNumberFormat="1" applyFont="1" applyFill="1" applyBorder="1"/>
    <xf numFmtId="4" fontId="5" fillId="3" borderId="1" xfId="0" applyNumberFormat="1" applyFont="1" applyFill="1" applyBorder="1"/>
    <xf numFmtId="4" fontId="5" fillId="3" borderId="6" xfId="0" applyNumberFormat="1" applyFont="1" applyFill="1" applyBorder="1"/>
    <xf numFmtId="166" fontId="5" fillId="3" borderId="1" xfId="0" applyNumberFormat="1" applyFont="1" applyFill="1" applyBorder="1" applyAlignment="1">
      <alignment vertical="top"/>
    </xf>
    <xf numFmtId="0" fontId="5" fillId="3" borderId="6" xfId="0" applyFont="1" applyFill="1" applyBorder="1"/>
    <xf numFmtId="4" fontId="3" fillId="3" borderId="19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Border="1" applyAlignment="1">
      <alignment vertical="top"/>
    </xf>
    <xf numFmtId="0" fontId="5" fillId="0" borderId="6" xfId="0" applyFont="1" applyBorder="1"/>
    <xf numFmtId="0" fontId="17" fillId="0" borderId="0" xfId="0" applyFon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0" fillId="2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9" borderId="1" xfId="0" applyFill="1" applyBorder="1" applyAlignment="1">
      <alignment vertical="top"/>
    </xf>
    <xf numFmtId="0" fontId="0" fillId="10" borderId="1" xfId="0" applyFill="1" applyBorder="1" applyAlignment="1">
      <alignment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0" fillId="11" borderId="1" xfId="0" applyFill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0" fillId="2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0" fillId="2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12" borderId="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vertical="top" wrapText="1"/>
    </xf>
    <xf numFmtId="4" fontId="2" fillId="1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9" fillId="12" borderId="1" xfId="0" applyFont="1" applyFill="1" applyBorder="1" applyAlignment="1">
      <alignment vertical="top" wrapText="1"/>
    </xf>
    <xf numFmtId="0" fontId="4" fillId="12" borderId="12" xfId="0" applyFont="1" applyFill="1" applyBorder="1" applyAlignment="1">
      <alignment vertical="top" wrapText="1"/>
    </xf>
    <xf numFmtId="165" fontId="4" fillId="12" borderId="6" xfId="0" applyNumberFormat="1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vertical="top" wrapText="1"/>
    </xf>
    <xf numFmtId="0" fontId="4" fillId="12" borderId="0" xfId="0" applyFont="1" applyFill="1" applyAlignment="1">
      <alignment vertical="top" wrapText="1"/>
    </xf>
    <xf numFmtId="165" fontId="10" fillId="2" borderId="6" xfId="0" applyNumberFormat="1" applyFont="1" applyFill="1" applyBorder="1" applyAlignment="1">
      <alignment horizontal="center" vertical="top" wrapText="1"/>
    </xf>
    <xf numFmtId="165" fontId="10" fillId="12" borderId="6" xfId="0" applyNumberFormat="1" applyFont="1" applyFill="1" applyBorder="1" applyAlignment="1">
      <alignment horizontal="center" vertical="top" wrapText="1"/>
    </xf>
    <xf numFmtId="0" fontId="4" fillId="12" borderId="15" xfId="0" applyFont="1" applyFill="1" applyBorder="1" applyAlignment="1">
      <alignment horizontal="justify" vertical="top" wrapText="1"/>
    </xf>
    <xf numFmtId="0" fontId="4" fillId="12" borderId="16" xfId="0" applyFont="1" applyFill="1" applyBorder="1" applyAlignment="1">
      <alignment horizontal="justify" vertical="top" wrapText="1"/>
    </xf>
    <xf numFmtId="0" fontId="4" fillId="12" borderId="17" xfId="0" applyFont="1" applyFill="1" applyBorder="1" applyAlignment="1">
      <alignment horizontal="justify" vertical="top" wrapText="1"/>
    </xf>
    <xf numFmtId="0" fontId="4" fillId="12" borderId="0" xfId="0" applyFont="1" applyFill="1" applyAlignment="1">
      <alignment horizontal="justify" vertical="top"/>
    </xf>
    <xf numFmtId="0" fontId="0" fillId="4" borderId="4" xfId="0" applyFill="1" applyBorder="1"/>
    <xf numFmtId="0" fontId="0" fillId="12" borderId="1" xfId="0" applyFill="1" applyBorder="1" applyAlignment="1">
      <alignment horizontal="left" vertical="center" wrapText="1"/>
    </xf>
    <xf numFmtId="4" fontId="5" fillId="0" borderId="1" xfId="0" applyNumberFormat="1" applyFont="1" applyBorder="1"/>
    <xf numFmtId="4" fontId="5" fillId="0" borderId="4" xfId="0" applyNumberFormat="1" applyFont="1" applyBorder="1"/>
    <xf numFmtId="4" fontId="5" fillId="0" borderId="6" xfId="0" applyNumberFormat="1" applyFont="1" applyBorder="1"/>
    <xf numFmtId="166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0" fillId="2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8" fillId="12" borderId="1" xfId="0" applyFont="1" applyFill="1" applyBorder="1" applyAlignment="1">
      <alignment horizontal="left" vertical="center" wrapText="1"/>
    </xf>
    <xf numFmtId="0" fontId="0" fillId="13" borderId="1" xfId="0" applyFill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0" fillId="2" borderId="7" xfId="0" applyNumberFormat="1" applyFont="1" applyFill="1" applyBorder="1" applyAlignment="1">
      <alignment horizontal="center" vertical="top" wrapText="1"/>
    </xf>
    <xf numFmtId="164" fontId="0" fillId="2" borderId="8" xfId="0" applyNumberFormat="1" applyFont="1" applyFill="1" applyBorder="1" applyAlignment="1">
      <alignment horizontal="center" vertical="top" wrapText="1"/>
    </xf>
    <xf numFmtId="164" fontId="0" fillId="2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2"/>
  <sheetViews>
    <sheetView zoomScale="85" zoomScaleNormal="85" workbookViewId="0">
      <pane xSplit="2" ySplit="12" topLeftCell="D121" activePane="bottomRight" state="frozen"/>
      <selection pane="topRight" activeCell="C1" sqref="C1"/>
      <selection pane="bottomLeft" activeCell="A13" sqref="A13"/>
      <selection pane="bottomRight" activeCell="E72" sqref="E72"/>
    </sheetView>
  </sheetViews>
  <sheetFormatPr defaultRowHeight="14.4" outlineLevelRow="1" x14ac:dyDescent="0.3"/>
  <cols>
    <col min="1" max="1" width="4.6640625" customWidth="1"/>
    <col min="2" max="2" width="29.88671875" customWidth="1"/>
    <col min="3" max="3" width="16.109375" hidden="1" customWidth="1"/>
    <col min="4" max="4" width="7.44140625" customWidth="1"/>
    <col min="6" max="6" width="9.88671875" customWidth="1"/>
    <col min="7" max="7" width="11.5546875" hidden="1" customWidth="1"/>
    <col min="8" max="8" width="12.5546875" hidden="1" customWidth="1"/>
    <col min="9" max="9" width="13.88671875" customWidth="1"/>
    <col min="10" max="10" width="9.6640625" hidden="1" customWidth="1"/>
    <col min="11" max="11" width="9.44140625" hidden="1" customWidth="1"/>
    <col min="12" max="12" width="15" hidden="1" customWidth="1"/>
    <col min="13" max="13" width="12.6640625" customWidth="1"/>
    <col min="14" max="14" width="13" customWidth="1"/>
    <col min="15" max="15" width="13.44140625" customWidth="1"/>
    <col min="16" max="16" width="11.109375" customWidth="1"/>
    <col min="17" max="17" width="13.33203125" customWidth="1"/>
    <col min="18" max="18" width="14.44140625" customWidth="1"/>
    <col min="19" max="19" width="12.109375" customWidth="1"/>
    <col min="20" max="22" width="12.6640625" customWidth="1"/>
    <col min="23" max="23" width="13" customWidth="1"/>
    <col min="24" max="24" width="12.44140625" customWidth="1"/>
    <col min="25" max="25" width="13" customWidth="1"/>
    <col min="26" max="28" width="13.109375" customWidth="1"/>
    <col min="29" max="29" width="13" customWidth="1"/>
    <col min="30" max="30" width="12.5546875" customWidth="1"/>
    <col min="31" max="31" width="13" customWidth="1"/>
    <col min="32" max="32" width="12.6640625" customWidth="1"/>
    <col min="33" max="33" width="12.5546875" customWidth="1"/>
    <col min="34" max="34" width="12.88671875" customWidth="1"/>
    <col min="35" max="35" width="15.109375" customWidth="1"/>
    <col min="36" max="36" width="12.6640625" customWidth="1"/>
  </cols>
  <sheetData>
    <row r="1" spans="1:36" ht="18" x14ac:dyDescent="0.3">
      <c r="M1" s="41"/>
      <c r="N1" s="24"/>
      <c r="O1" s="24"/>
      <c r="P1" s="24"/>
      <c r="Q1" s="25" t="s">
        <v>30</v>
      </c>
      <c r="R1" s="25"/>
      <c r="S1" s="25"/>
    </row>
    <row r="2" spans="1:36" ht="18" x14ac:dyDescent="0.35">
      <c r="N2" s="23"/>
      <c r="O2" s="23"/>
      <c r="P2" s="23"/>
      <c r="Q2" s="1" t="s">
        <v>31</v>
      </c>
      <c r="R2" s="1"/>
      <c r="S2" s="1"/>
    </row>
    <row r="3" spans="1:36" ht="18" x14ac:dyDescent="0.35">
      <c r="A3" s="390" t="s">
        <v>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153"/>
      <c r="V3" s="153"/>
    </row>
    <row r="4" spans="1:36" ht="39.75" customHeight="1" x14ac:dyDescent="0.3">
      <c r="A4" s="391" t="s">
        <v>93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154"/>
      <c r="V4" s="154"/>
    </row>
    <row r="5" spans="1:36" ht="13.5" customHeight="1" x14ac:dyDescent="0.35">
      <c r="A5" s="1"/>
      <c r="N5" s="122" t="s">
        <v>105</v>
      </c>
    </row>
    <row r="6" spans="1:36" ht="45.75" customHeight="1" x14ac:dyDescent="0.3">
      <c r="A6" s="392" t="s">
        <v>3</v>
      </c>
      <c r="B6" s="386" t="s">
        <v>1</v>
      </c>
      <c r="C6" s="386" t="s">
        <v>2</v>
      </c>
      <c r="D6" s="386" t="s">
        <v>4</v>
      </c>
      <c r="E6" s="386" t="s">
        <v>5</v>
      </c>
      <c r="F6" s="386"/>
      <c r="G6" s="394" t="s">
        <v>29</v>
      </c>
      <c r="H6" s="394" t="s">
        <v>63</v>
      </c>
      <c r="I6" s="396" t="s">
        <v>7</v>
      </c>
      <c r="J6" s="385" t="s">
        <v>8</v>
      </c>
      <c r="K6" s="386"/>
      <c r="L6" s="386"/>
      <c r="M6" s="386" t="s">
        <v>85</v>
      </c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294"/>
      <c r="AJ6" s="294"/>
    </row>
    <row r="7" spans="1:36" ht="90.75" customHeight="1" x14ac:dyDescent="0.3">
      <c r="A7" s="393"/>
      <c r="B7" s="386"/>
      <c r="C7" s="386"/>
      <c r="D7" s="386"/>
      <c r="E7" s="151" t="s">
        <v>6</v>
      </c>
      <c r="F7" s="151" t="s">
        <v>19</v>
      </c>
      <c r="G7" s="395"/>
      <c r="H7" s="395"/>
      <c r="I7" s="396"/>
      <c r="J7" s="156" t="s">
        <v>6</v>
      </c>
      <c r="K7" s="151" t="s">
        <v>9</v>
      </c>
      <c r="L7" s="151" t="s">
        <v>10</v>
      </c>
      <c r="M7" s="171" t="s">
        <v>43</v>
      </c>
      <c r="N7" s="161" t="s">
        <v>11</v>
      </c>
      <c r="O7" s="14" t="s">
        <v>33</v>
      </c>
      <c r="P7" s="171" t="s">
        <v>46</v>
      </c>
      <c r="Q7" s="161" t="s">
        <v>12</v>
      </c>
      <c r="R7" s="14" t="s">
        <v>33</v>
      </c>
      <c r="S7" s="171" t="s">
        <v>53</v>
      </c>
      <c r="T7" s="161" t="s">
        <v>13</v>
      </c>
      <c r="U7" s="14" t="s">
        <v>33</v>
      </c>
      <c r="V7" s="171" t="s">
        <v>73</v>
      </c>
      <c r="W7" s="161" t="s">
        <v>40</v>
      </c>
      <c r="X7" s="14" t="s">
        <v>33</v>
      </c>
      <c r="Y7" s="171" t="s">
        <v>74</v>
      </c>
      <c r="Z7" s="161" t="s">
        <v>41</v>
      </c>
      <c r="AA7" s="14" t="s">
        <v>33</v>
      </c>
      <c r="AB7" s="171" t="s">
        <v>75</v>
      </c>
      <c r="AC7" s="161" t="s">
        <v>42</v>
      </c>
      <c r="AD7" s="14" t="s">
        <v>33</v>
      </c>
      <c r="AE7" s="171" t="s">
        <v>76</v>
      </c>
      <c r="AF7" s="172" t="s">
        <v>45</v>
      </c>
      <c r="AG7" s="14" t="s">
        <v>33</v>
      </c>
      <c r="AH7" s="171" t="s">
        <v>77</v>
      </c>
    </row>
    <row r="8" spans="1:36" ht="30.75" customHeight="1" x14ac:dyDescent="0.3">
      <c r="A8" s="2"/>
      <c r="B8" s="3" t="s">
        <v>34</v>
      </c>
      <c r="C8" s="4"/>
      <c r="D8" s="5"/>
      <c r="E8" s="11">
        <f>SUM(E14:E168)</f>
        <v>331.61700000000002</v>
      </c>
      <c r="F8" s="11">
        <f>SUM(F14:F168)</f>
        <v>2268.31</v>
      </c>
      <c r="G8" s="11">
        <f>SUM(G14:G168)</f>
        <v>20.720400000000001</v>
      </c>
      <c r="H8" s="135"/>
      <c r="I8" s="88">
        <f>SUM(I14:I168)</f>
        <v>52511596.167999998</v>
      </c>
      <c r="J8" s="83" t="e">
        <f>SUM(J14:J168)+#REF!</f>
        <v>#REF!</v>
      </c>
      <c r="K8" s="11" t="e">
        <f>SUM(K14:K168)+#REF!</f>
        <v>#REF!</v>
      </c>
      <c r="L8" s="11" t="e">
        <f>#REF!+L14+#REF!+L19+#REF!+L24+#REF!+#REF!+#REF!+#REF!+#REF!+#REF!+#REF!+#REF!+#REF!+#REF!+#REF!+#REF!+#REF!+#REF!+#REF!+#REF!+#REF!+#REF!+#REF!+#REF!+#REF!+#REF!+#REF!+#REF!+#REF!+#REF!+#REF!+#REF!+L124+L129+#REF!+#REF!+#REF!+L170</f>
        <v>#REF!</v>
      </c>
      <c r="M8" s="179">
        <f>M11+M12</f>
        <v>414849.9</v>
      </c>
      <c r="N8" s="306">
        <f t="shared" ref="N8:AH8" si="0">N11+N12</f>
        <v>352561.7</v>
      </c>
      <c r="O8" s="71">
        <f t="shared" si="0"/>
        <v>21801.5</v>
      </c>
      <c r="P8" s="307">
        <f t="shared" si="0"/>
        <v>374363.2</v>
      </c>
      <c r="Q8" s="308">
        <f t="shared" si="0"/>
        <v>1006174.2</v>
      </c>
      <c r="R8" s="71">
        <f t="shared" si="0"/>
        <v>615057.69999999995</v>
      </c>
      <c r="S8" s="307">
        <f t="shared" si="0"/>
        <v>1621231.9</v>
      </c>
      <c r="T8" s="308">
        <f t="shared" si="0"/>
        <v>1634718</v>
      </c>
      <c r="U8" s="71">
        <f t="shared" si="0"/>
        <v>3591782.8000000003</v>
      </c>
      <c r="V8" s="307">
        <f t="shared" si="0"/>
        <v>5226500.8</v>
      </c>
      <c r="W8" s="308">
        <f t="shared" si="0"/>
        <v>7325048.0999999996</v>
      </c>
      <c r="X8" s="71">
        <f t="shared" si="0"/>
        <v>-953859.2</v>
      </c>
      <c r="Y8" s="307">
        <f t="shared" si="0"/>
        <v>6371188.8999999994</v>
      </c>
      <c r="Z8" s="308">
        <f t="shared" si="0"/>
        <v>8716296.5999999996</v>
      </c>
      <c r="AA8" s="71">
        <f t="shared" si="0"/>
        <v>-1806147</v>
      </c>
      <c r="AB8" s="307">
        <f t="shared" si="0"/>
        <v>6910149.6000000006</v>
      </c>
      <c r="AC8" s="308">
        <f t="shared" si="0"/>
        <v>6830000</v>
      </c>
      <c r="AD8" s="71">
        <f t="shared" si="0"/>
        <v>4220483.8999999994</v>
      </c>
      <c r="AE8" s="307">
        <f t="shared" si="0"/>
        <v>11050483.9</v>
      </c>
      <c r="AF8" s="308">
        <f t="shared" si="0"/>
        <v>7749041.5</v>
      </c>
      <c r="AG8" s="71">
        <f t="shared" si="0"/>
        <v>11339612.4</v>
      </c>
      <c r="AH8" s="307">
        <f t="shared" si="0"/>
        <v>19088653.900000002</v>
      </c>
    </row>
    <row r="9" spans="1:36" ht="27.75" hidden="1" customHeight="1" outlineLevel="1" x14ac:dyDescent="0.3">
      <c r="A9" s="2"/>
      <c r="B9" s="39" t="s">
        <v>95</v>
      </c>
      <c r="C9" s="4"/>
      <c r="D9" s="5"/>
      <c r="E9" s="11"/>
      <c r="F9" s="11"/>
      <c r="G9" s="11"/>
      <c r="H9" s="135"/>
      <c r="I9" s="88"/>
      <c r="J9" s="83"/>
      <c r="K9" s="11"/>
      <c r="L9" s="11"/>
      <c r="M9" s="179">
        <f>M10+M11</f>
        <v>0</v>
      </c>
      <c r="N9" s="174">
        <f>N10+N11</f>
        <v>100000</v>
      </c>
      <c r="O9" s="174">
        <f t="shared" ref="O9:P9" si="1">O10+O11</f>
        <v>21801.5</v>
      </c>
      <c r="P9" s="179">
        <f t="shared" si="1"/>
        <v>121801.5</v>
      </c>
      <c r="Q9" s="174">
        <f>Q10+Q11</f>
        <v>1350000</v>
      </c>
      <c r="R9" s="174">
        <f t="shared" ref="R9:S9" si="2">R10+R11</f>
        <v>97800</v>
      </c>
      <c r="S9" s="179">
        <f t="shared" si="2"/>
        <v>1447800</v>
      </c>
      <c r="T9" s="174">
        <f>T10+T11</f>
        <v>1418200</v>
      </c>
      <c r="U9" s="174">
        <f t="shared" ref="U9" si="3">U10+U11</f>
        <v>3472345.2</v>
      </c>
      <c r="V9" s="179">
        <f t="shared" ref="V9" si="4">V10+V11</f>
        <v>4890545.2</v>
      </c>
      <c r="W9" s="174">
        <f>W10+W11</f>
        <v>6779276.7999999998</v>
      </c>
      <c r="X9" s="174">
        <f t="shared" ref="X9" si="5">X10+X11</f>
        <v>-623153.69999999995</v>
      </c>
      <c r="Y9" s="179">
        <f t="shared" ref="Y9" si="6">Y10+Y11</f>
        <v>6156123.0999999996</v>
      </c>
      <c r="Z9" s="174">
        <f>Z10+Z11</f>
        <v>8324819.5</v>
      </c>
      <c r="AA9" s="174">
        <f t="shared" ref="AA9" si="7">AA10+AA11</f>
        <v>-1597116.6</v>
      </c>
      <c r="AB9" s="179">
        <f t="shared" ref="AB9" si="8">AB10+AB11</f>
        <v>6727702.9000000004</v>
      </c>
      <c r="AC9" s="174">
        <f>AC10+AC11</f>
        <v>6800000</v>
      </c>
      <c r="AD9" s="174">
        <f t="shared" ref="AD9" si="9">AD10+AD11</f>
        <v>4155208.3</v>
      </c>
      <c r="AE9" s="179">
        <f t="shared" ref="AE9" si="10">AE10+AE11</f>
        <v>10955208.300000001</v>
      </c>
      <c r="AF9" s="174">
        <f>AF10+AF11</f>
        <v>7719041.5</v>
      </c>
      <c r="AG9" s="174">
        <f t="shared" ref="AG9" si="11">AG10+AG11</f>
        <v>11339612.4</v>
      </c>
      <c r="AH9" s="179">
        <f t="shared" ref="AH9" si="12">AH10+AH11</f>
        <v>19058653.900000002</v>
      </c>
    </row>
    <row r="10" spans="1:36" ht="17.25" hidden="1" customHeight="1" outlineLevel="1" x14ac:dyDescent="0.3">
      <c r="A10" s="2"/>
      <c r="B10" s="39" t="s">
        <v>83</v>
      </c>
      <c r="C10" s="4"/>
      <c r="D10" s="5"/>
      <c r="E10" s="11"/>
      <c r="F10" s="11"/>
      <c r="G10" s="11"/>
      <c r="H10" s="135"/>
      <c r="I10" s="88"/>
      <c r="J10" s="83"/>
      <c r="K10" s="11"/>
      <c r="L10" s="11"/>
      <c r="M10" s="179">
        <f>M169</f>
        <v>0</v>
      </c>
      <c r="N10" s="179">
        <f t="shared" ref="N10:AH10" si="13">N169</f>
        <v>0</v>
      </c>
      <c r="O10" s="179">
        <f t="shared" si="13"/>
        <v>0</v>
      </c>
      <c r="P10" s="179">
        <f t="shared" si="13"/>
        <v>0</v>
      </c>
      <c r="Q10" s="307">
        <f t="shared" si="13"/>
        <v>478641.6</v>
      </c>
      <c r="R10" s="179">
        <f t="shared" si="13"/>
        <v>-478641.6</v>
      </c>
      <c r="S10" s="179">
        <f t="shared" si="13"/>
        <v>0</v>
      </c>
      <c r="T10" s="307">
        <f t="shared" si="13"/>
        <v>0</v>
      </c>
      <c r="U10" s="179">
        <f t="shared" si="13"/>
        <v>0</v>
      </c>
      <c r="V10" s="179">
        <f t="shared" si="13"/>
        <v>0</v>
      </c>
      <c r="W10" s="307">
        <f t="shared" si="13"/>
        <v>0</v>
      </c>
      <c r="X10" s="179">
        <f t="shared" si="13"/>
        <v>0</v>
      </c>
      <c r="Y10" s="179">
        <f t="shared" si="13"/>
        <v>0</v>
      </c>
      <c r="Z10" s="307">
        <f t="shared" si="13"/>
        <v>0</v>
      </c>
      <c r="AA10" s="179">
        <f t="shared" si="13"/>
        <v>0</v>
      </c>
      <c r="AB10" s="179">
        <f t="shared" si="13"/>
        <v>0</v>
      </c>
      <c r="AC10" s="307">
        <f t="shared" si="13"/>
        <v>0</v>
      </c>
      <c r="AD10" s="179">
        <f t="shared" si="13"/>
        <v>0</v>
      </c>
      <c r="AE10" s="179">
        <f t="shared" si="13"/>
        <v>0</v>
      </c>
      <c r="AF10" s="307">
        <f t="shared" si="13"/>
        <v>0</v>
      </c>
      <c r="AG10" s="179">
        <f t="shared" si="13"/>
        <v>0</v>
      </c>
      <c r="AH10" s="179">
        <f t="shared" si="13"/>
        <v>0</v>
      </c>
    </row>
    <row r="11" spans="1:36" ht="22.5" customHeight="1" outlineLevel="1" x14ac:dyDescent="0.3">
      <c r="A11" s="2"/>
      <c r="B11" s="3" t="s">
        <v>20</v>
      </c>
      <c r="C11" s="15"/>
      <c r="D11" s="5"/>
      <c r="E11" s="5"/>
      <c r="F11" s="5"/>
      <c r="G11" s="5"/>
      <c r="H11" s="136"/>
      <c r="I11" s="101"/>
      <c r="J11" s="97"/>
      <c r="K11" s="5"/>
      <c r="L11" s="15"/>
      <c r="M11" s="180">
        <f>M15+M20+M25+M30+M35+M40+M45+M55+M60+M65+M70+M75+M80+M85+M90+M110+M115+M120+M125+M130+M135+M50+M140+M145+M150+M155+M160+M165</f>
        <v>0</v>
      </c>
      <c r="N11" s="289">
        <f t="shared" ref="N11:AH11" si="14">N15+N20+N25+N30+N35+N40+N45+N55+N60+N65+N70+N75+N80+N85+N90+N110+N115+N120+N125+N130+N135+N50+N140+N145+N150+N155+N160+N165</f>
        <v>100000</v>
      </c>
      <c r="O11" s="77">
        <f t="shared" si="14"/>
        <v>21801.5</v>
      </c>
      <c r="P11" s="180">
        <f t="shared" si="14"/>
        <v>121801.5</v>
      </c>
      <c r="Q11" s="295">
        <f t="shared" si="14"/>
        <v>871358.4</v>
      </c>
      <c r="R11" s="77">
        <f t="shared" si="14"/>
        <v>576441.59999999998</v>
      </c>
      <c r="S11" s="180">
        <f t="shared" si="14"/>
        <v>1447800</v>
      </c>
      <c r="T11" s="295">
        <f t="shared" si="14"/>
        <v>1418200</v>
      </c>
      <c r="U11" s="77">
        <f t="shared" si="14"/>
        <v>3472345.2</v>
      </c>
      <c r="V11" s="180">
        <f t="shared" si="14"/>
        <v>4890545.2</v>
      </c>
      <c r="W11" s="295">
        <f t="shared" si="14"/>
        <v>6779276.7999999998</v>
      </c>
      <c r="X11" s="77">
        <f t="shared" si="14"/>
        <v>-623153.69999999995</v>
      </c>
      <c r="Y11" s="180">
        <f t="shared" si="14"/>
        <v>6156123.0999999996</v>
      </c>
      <c r="Z11" s="295">
        <f t="shared" si="14"/>
        <v>8324819.5</v>
      </c>
      <c r="AA11" s="77">
        <f t="shared" si="14"/>
        <v>-1597116.6</v>
      </c>
      <c r="AB11" s="180">
        <f t="shared" si="14"/>
        <v>6727702.9000000004</v>
      </c>
      <c r="AC11" s="295">
        <f t="shared" si="14"/>
        <v>6800000</v>
      </c>
      <c r="AD11" s="77">
        <f t="shared" si="14"/>
        <v>4155208.3</v>
      </c>
      <c r="AE11" s="180">
        <f t="shared" si="14"/>
        <v>10955208.300000001</v>
      </c>
      <c r="AF11" s="295">
        <f t="shared" si="14"/>
        <v>7719041.5</v>
      </c>
      <c r="AG11" s="77">
        <f t="shared" si="14"/>
        <v>11339612.4</v>
      </c>
      <c r="AH11" s="180">
        <f t="shared" si="14"/>
        <v>19058653.900000002</v>
      </c>
    </row>
    <row r="12" spans="1:36" ht="19.5" customHeight="1" outlineLevel="1" x14ac:dyDescent="0.3">
      <c r="A12" s="2"/>
      <c r="B12" s="3" t="s">
        <v>21</v>
      </c>
      <c r="C12" s="15"/>
      <c r="D12" s="5"/>
      <c r="E12" s="5"/>
      <c r="F12" s="5"/>
      <c r="G12" s="5"/>
      <c r="H12" s="136"/>
      <c r="I12" s="101"/>
      <c r="J12" s="97"/>
      <c r="K12" s="5"/>
      <c r="L12" s="15"/>
      <c r="M12" s="180">
        <f>M16+M21+M24+M31+M36+M41+M46+M56+M61+M76+M81+M86+M91+M95+M97+M100+M103+M106+67767.4+M51+M111+M116+M121+M126+M131+M136+M141+M146+M151+M156+M161+M166</f>
        <v>414849.9</v>
      </c>
      <c r="N12" s="289">
        <f t="shared" ref="N12:AH12" si="15">N16+N21+N26+N31+N36+N41+N46+N51+N56+N61+N66+N71+N76+N81+N86+N91+N94+N97+N100+N103+N106+N111+N116+N121+N126+N131+N136+N141+N146+N151+N156+N161+N166+N170</f>
        <v>252561.7</v>
      </c>
      <c r="O12" s="289">
        <f t="shared" si="15"/>
        <v>0</v>
      </c>
      <c r="P12" s="180">
        <f t="shared" si="15"/>
        <v>252561.7</v>
      </c>
      <c r="Q12" s="295">
        <f t="shared" si="15"/>
        <v>134815.79999999996</v>
      </c>
      <c r="R12" s="289">
        <f t="shared" si="15"/>
        <v>38616.1</v>
      </c>
      <c r="S12" s="180">
        <f t="shared" si="15"/>
        <v>173431.9</v>
      </c>
      <c r="T12" s="295">
        <f t="shared" si="15"/>
        <v>216518</v>
      </c>
      <c r="U12" s="289">
        <f t="shared" si="15"/>
        <v>119437.6</v>
      </c>
      <c r="V12" s="180">
        <f t="shared" si="15"/>
        <v>335955.6</v>
      </c>
      <c r="W12" s="295">
        <f t="shared" si="15"/>
        <v>545771.30000000005</v>
      </c>
      <c r="X12" s="289">
        <f t="shared" si="15"/>
        <v>-330705.49999999994</v>
      </c>
      <c r="Y12" s="180">
        <f t="shared" si="15"/>
        <v>215065.8</v>
      </c>
      <c r="Z12" s="295">
        <f t="shared" si="15"/>
        <v>391477.1</v>
      </c>
      <c r="AA12" s="289">
        <f t="shared" si="15"/>
        <v>-209030.40000000002</v>
      </c>
      <c r="AB12" s="180">
        <f t="shared" si="15"/>
        <v>182446.7</v>
      </c>
      <c r="AC12" s="295">
        <f t="shared" si="15"/>
        <v>30000</v>
      </c>
      <c r="AD12" s="289">
        <f t="shared" si="15"/>
        <v>65275.600000000006</v>
      </c>
      <c r="AE12" s="180">
        <f t="shared" si="15"/>
        <v>95275.6</v>
      </c>
      <c r="AF12" s="295">
        <f t="shared" si="15"/>
        <v>30000</v>
      </c>
      <c r="AG12" s="289">
        <f t="shared" si="15"/>
        <v>0</v>
      </c>
      <c r="AH12" s="180">
        <f t="shared" si="15"/>
        <v>30000</v>
      </c>
    </row>
    <row r="13" spans="1:36" ht="15" customHeight="1" outlineLevel="1" x14ac:dyDescent="0.3">
      <c r="A13" s="2"/>
      <c r="B13" s="6" t="s">
        <v>14</v>
      </c>
      <c r="C13" s="4"/>
      <c r="D13" s="5"/>
      <c r="E13" s="5"/>
      <c r="F13" s="5"/>
      <c r="G13" s="5"/>
      <c r="H13" s="136"/>
      <c r="I13" s="101"/>
      <c r="J13" s="97"/>
      <c r="K13" s="5"/>
      <c r="L13" s="4"/>
      <c r="M13" s="88"/>
      <c r="N13" s="83"/>
      <c r="O13" s="11"/>
      <c r="P13" s="88"/>
      <c r="Q13" s="83"/>
      <c r="R13" s="11"/>
      <c r="S13" s="88"/>
      <c r="T13" s="83"/>
      <c r="U13" s="11"/>
      <c r="V13" s="88"/>
      <c r="W13" s="87"/>
      <c r="X13" s="2"/>
      <c r="Y13" s="96"/>
      <c r="Z13" s="87"/>
      <c r="AA13" s="2"/>
      <c r="AB13" s="96"/>
      <c r="AC13" s="87"/>
      <c r="AD13" s="2"/>
      <c r="AE13" s="96"/>
      <c r="AF13" s="87"/>
      <c r="AG13" s="2"/>
      <c r="AH13" s="96"/>
    </row>
    <row r="14" spans="1:36" ht="92.25" customHeight="1" x14ac:dyDescent="0.3">
      <c r="A14" s="151">
        <v>2</v>
      </c>
      <c r="B14" s="6" t="s">
        <v>54</v>
      </c>
      <c r="C14" s="147"/>
      <c r="D14" s="51" t="s">
        <v>51</v>
      </c>
      <c r="E14" s="55">
        <v>26.63</v>
      </c>
      <c r="F14" s="51"/>
      <c r="G14" s="149"/>
      <c r="H14" s="146">
        <v>234324.59074000001</v>
      </c>
      <c r="I14" s="120">
        <v>1312156</v>
      </c>
      <c r="J14" s="387">
        <v>26.63</v>
      </c>
      <c r="K14" s="7"/>
      <c r="L14" s="32" t="e">
        <f>#REF!+#REF!+#REF!+#REF!</f>
        <v>#REF!</v>
      </c>
      <c r="M14" s="91">
        <f>M15+M16</f>
        <v>339917.6</v>
      </c>
      <c r="N14" s="84">
        <f t="shared" ref="N14:T14" si="16">N15+N16</f>
        <v>300500</v>
      </c>
      <c r="O14" s="48">
        <f t="shared" si="16"/>
        <v>0</v>
      </c>
      <c r="P14" s="91">
        <f t="shared" si="16"/>
        <v>300500</v>
      </c>
      <c r="Q14" s="84">
        <f t="shared" si="16"/>
        <v>437413.8</v>
      </c>
      <c r="R14" s="48">
        <f t="shared" si="16"/>
        <v>0</v>
      </c>
      <c r="S14" s="91">
        <f t="shared" si="16"/>
        <v>437413.8</v>
      </c>
      <c r="T14" s="84">
        <f t="shared" si="16"/>
        <v>0</v>
      </c>
      <c r="U14" s="48"/>
      <c r="V14" s="91">
        <f>T14+U14</f>
        <v>0</v>
      </c>
      <c r="W14" s="197"/>
      <c r="X14" s="111"/>
      <c r="Y14" s="215"/>
      <c r="Z14" s="178"/>
      <c r="AA14" s="112"/>
      <c r="AB14" s="184"/>
      <c r="AC14" s="178"/>
      <c r="AD14" s="112"/>
      <c r="AE14" s="184"/>
      <c r="AF14" s="197"/>
      <c r="AG14" s="76"/>
      <c r="AH14" s="233"/>
      <c r="AI14" s="38"/>
    </row>
    <row r="15" spans="1:36" s="58" customFormat="1" ht="30.75" customHeight="1" x14ac:dyDescent="0.3">
      <c r="A15" s="54" t="s">
        <v>26</v>
      </c>
      <c r="B15" s="26" t="s">
        <v>72</v>
      </c>
      <c r="C15" s="56"/>
      <c r="D15" s="26"/>
      <c r="E15" s="20"/>
      <c r="F15" s="26"/>
      <c r="G15" s="28"/>
      <c r="H15" s="138"/>
      <c r="I15" s="102"/>
      <c r="J15" s="388"/>
      <c r="K15" s="14"/>
      <c r="L15" s="14"/>
      <c r="M15" s="92">
        <v>0</v>
      </c>
      <c r="N15" s="175">
        <v>100000</v>
      </c>
      <c r="O15" s="36"/>
      <c r="P15" s="181">
        <f>N15+O15</f>
        <v>100000</v>
      </c>
      <c r="Q15" s="175">
        <v>421358.4</v>
      </c>
      <c r="R15" s="36"/>
      <c r="S15" s="181">
        <f>Q15+R15</f>
        <v>421358.4</v>
      </c>
      <c r="T15" s="175"/>
      <c r="U15" s="36"/>
      <c r="V15" s="181"/>
      <c r="W15" s="198"/>
      <c r="X15" s="113"/>
      <c r="Y15" s="216"/>
      <c r="Z15" s="198"/>
      <c r="AA15" s="113"/>
      <c r="AB15" s="216"/>
      <c r="AC15" s="198"/>
      <c r="AD15" s="113"/>
      <c r="AE15" s="216"/>
      <c r="AF15" s="198"/>
      <c r="AG15" s="232"/>
      <c r="AH15" s="235"/>
    </row>
    <row r="16" spans="1:36" ht="24" customHeight="1" x14ac:dyDescent="0.3">
      <c r="A16" s="16" t="s">
        <v>27</v>
      </c>
      <c r="B16" s="6" t="s">
        <v>23</v>
      </c>
      <c r="C16" s="52"/>
      <c r="D16" s="53"/>
      <c r="E16" s="10"/>
      <c r="F16" s="53"/>
      <c r="G16" s="7"/>
      <c r="H16" s="137"/>
      <c r="I16" s="103"/>
      <c r="J16" s="389"/>
      <c r="K16" s="7"/>
      <c r="L16" s="7"/>
      <c r="M16" s="93">
        <f>M17+M18</f>
        <v>339917.6</v>
      </c>
      <c r="N16" s="174">
        <v>200500</v>
      </c>
      <c r="O16" s="71">
        <f t="shared" ref="O16" si="17">O17+O18</f>
        <v>0</v>
      </c>
      <c r="P16" s="179">
        <v>200500</v>
      </c>
      <c r="Q16" s="174">
        <f>Q17+Q18</f>
        <v>16055.399999999965</v>
      </c>
      <c r="R16" s="71">
        <f t="shared" ref="R16:S16" si="18">R17+R18</f>
        <v>0</v>
      </c>
      <c r="S16" s="206">
        <f t="shared" si="18"/>
        <v>16055.399999999965</v>
      </c>
      <c r="T16" s="174"/>
      <c r="U16" s="71"/>
      <c r="V16" s="179"/>
      <c r="W16" s="178"/>
      <c r="X16" s="112"/>
      <c r="Y16" s="184"/>
      <c r="Z16" s="178"/>
      <c r="AA16" s="112"/>
      <c r="AB16" s="184"/>
      <c r="AC16" s="178"/>
      <c r="AD16" s="112"/>
      <c r="AE16" s="184"/>
      <c r="AF16" s="178"/>
      <c r="AG16" s="2"/>
      <c r="AH16" s="96"/>
    </row>
    <row r="17" spans="1:37" ht="21" customHeight="1" x14ac:dyDescent="0.3">
      <c r="A17" s="16"/>
      <c r="B17" s="6" t="s">
        <v>35</v>
      </c>
      <c r="C17" s="148"/>
      <c r="D17" s="150"/>
      <c r="E17" s="152"/>
      <c r="F17" s="150"/>
      <c r="G17" s="150"/>
      <c r="H17" s="139"/>
      <c r="I17" s="104"/>
      <c r="J17" s="155"/>
      <c r="K17" s="7"/>
      <c r="L17" s="7"/>
      <c r="M17" s="93">
        <v>167.6</v>
      </c>
      <c r="N17" s="174">
        <f>200+300</f>
        <v>500</v>
      </c>
      <c r="O17" s="71"/>
      <c r="P17" s="179">
        <f t="shared" ref="P17:P18" si="19">N17+O17</f>
        <v>500</v>
      </c>
      <c r="Q17" s="174">
        <v>100</v>
      </c>
      <c r="R17" s="71"/>
      <c r="S17" s="179">
        <f t="shared" ref="S17:S18" si="20">Q17+R17</f>
        <v>100</v>
      </c>
      <c r="T17" s="174"/>
      <c r="U17" s="71"/>
      <c r="V17" s="179"/>
      <c r="W17" s="178"/>
      <c r="X17" s="112"/>
      <c r="Y17" s="184"/>
      <c r="Z17" s="178"/>
      <c r="AA17" s="112"/>
      <c r="AB17" s="184"/>
      <c r="AC17" s="178"/>
      <c r="AD17" s="112"/>
      <c r="AE17" s="184"/>
      <c r="AF17" s="178"/>
      <c r="AG17" s="2"/>
      <c r="AH17" s="96"/>
    </row>
    <row r="18" spans="1:37" ht="21" customHeight="1" x14ac:dyDescent="0.3">
      <c r="A18" s="16"/>
      <c r="B18" s="6" t="s">
        <v>36</v>
      </c>
      <c r="C18" s="148"/>
      <c r="D18" s="150"/>
      <c r="E18" s="152"/>
      <c r="F18" s="150"/>
      <c r="G18" s="150"/>
      <c r="H18" s="139"/>
      <c r="I18" s="104"/>
      <c r="J18" s="155"/>
      <c r="K18" s="7"/>
      <c r="L18" s="7"/>
      <c r="M18" s="93">
        <v>339750</v>
      </c>
      <c r="N18" s="174">
        <v>300000</v>
      </c>
      <c r="O18" s="71"/>
      <c r="P18" s="179">
        <f t="shared" si="19"/>
        <v>300000</v>
      </c>
      <c r="Q18" s="174">
        <f>455875.3-18061.5-300-421558.4</f>
        <v>15955.399999999965</v>
      </c>
      <c r="R18" s="71"/>
      <c r="S18" s="179">
        <f t="shared" si="20"/>
        <v>15955.399999999965</v>
      </c>
      <c r="T18" s="174"/>
      <c r="U18" s="71"/>
      <c r="V18" s="179"/>
      <c r="W18" s="178"/>
      <c r="X18" s="112"/>
      <c r="Y18" s="184"/>
      <c r="Z18" s="178"/>
      <c r="AA18" s="112"/>
      <c r="AB18" s="184"/>
      <c r="AC18" s="178"/>
      <c r="AD18" s="112"/>
      <c r="AE18" s="184"/>
      <c r="AF18" s="178"/>
      <c r="AG18" s="2"/>
      <c r="AH18" s="96"/>
    </row>
    <row r="19" spans="1:37" ht="95.25" customHeight="1" x14ac:dyDescent="0.3">
      <c r="A19" s="151">
        <v>4</v>
      </c>
      <c r="B19" s="43" t="s">
        <v>78</v>
      </c>
      <c r="C19" s="239" t="s">
        <v>15</v>
      </c>
      <c r="D19" s="240" t="s">
        <v>66</v>
      </c>
      <c r="E19" s="240">
        <v>14.1</v>
      </c>
      <c r="F19" s="240"/>
      <c r="G19" s="239"/>
      <c r="H19" s="241"/>
      <c r="I19" s="251">
        <f>869198.1+13580</f>
        <v>882778.1</v>
      </c>
      <c r="J19" s="166">
        <v>13.83</v>
      </c>
      <c r="K19" s="14"/>
      <c r="L19" s="167" t="e">
        <f>#REF!+#REF!+#REF!</f>
        <v>#REF!</v>
      </c>
      <c r="M19" s="91">
        <f t="shared" ref="M19" si="21">M20+M21</f>
        <v>0</v>
      </c>
      <c r="N19" s="84">
        <f>N20+N21</f>
        <v>0</v>
      </c>
      <c r="O19" s="48">
        <f>O20+O21</f>
        <v>0</v>
      </c>
      <c r="P19" s="91">
        <f t="shared" ref="P19:AH19" si="22">P20+P21</f>
        <v>0</v>
      </c>
      <c r="Q19" s="84">
        <f t="shared" si="22"/>
        <v>0</v>
      </c>
      <c r="R19" s="48">
        <f t="shared" si="22"/>
        <v>0</v>
      </c>
      <c r="S19" s="91">
        <f t="shared" si="22"/>
        <v>0</v>
      </c>
      <c r="T19" s="84">
        <f t="shared" si="22"/>
        <v>0</v>
      </c>
      <c r="U19" s="48"/>
      <c r="V19" s="91"/>
      <c r="W19" s="84">
        <f t="shared" si="22"/>
        <v>15000</v>
      </c>
      <c r="X19" s="84">
        <f t="shared" si="22"/>
        <v>-10069.5</v>
      </c>
      <c r="Y19" s="91">
        <f t="shared" si="22"/>
        <v>4930.5</v>
      </c>
      <c r="Z19" s="84">
        <f t="shared" si="22"/>
        <v>249636.5</v>
      </c>
      <c r="AA19" s="84">
        <f t="shared" si="22"/>
        <v>-237033.4</v>
      </c>
      <c r="AB19" s="91">
        <f t="shared" si="22"/>
        <v>12603.1</v>
      </c>
      <c r="AC19" s="84">
        <f t="shared" si="22"/>
        <v>300000</v>
      </c>
      <c r="AD19" s="84">
        <f t="shared" si="22"/>
        <v>130000</v>
      </c>
      <c r="AE19" s="91">
        <f t="shared" si="22"/>
        <v>430000</v>
      </c>
      <c r="AF19" s="84">
        <f t="shared" si="22"/>
        <v>318141.59999999998</v>
      </c>
      <c r="AG19" s="84">
        <f t="shared" si="22"/>
        <v>117102.9</v>
      </c>
      <c r="AH19" s="91">
        <f t="shared" si="22"/>
        <v>435244.5</v>
      </c>
      <c r="AI19" s="238">
        <f>I19-Y19-AB19-AE19-AH19</f>
        <v>0</v>
      </c>
    </row>
    <row r="20" spans="1:37" s="58" customFormat="1" ht="21.75" customHeight="1" x14ac:dyDescent="0.3">
      <c r="A20" s="54" t="s">
        <v>24</v>
      </c>
      <c r="B20" s="26" t="s">
        <v>22</v>
      </c>
      <c r="C20" s="56"/>
      <c r="D20" s="26"/>
      <c r="E20" s="26"/>
      <c r="F20" s="26"/>
      <c r="G20" s="28"/>
      <c r="H20" s="138"/>
      <c r="I20" s="106"/>
      <c r="J20" s="98"/>
      <c r="K20" s="28"/>
      <c r="L20" s="28"/>
      <c r="M20" s="92">
        <v>0</v>
      </c>
      <c r="N20" s="85"/>
      <c r="O20" s="35"/>
      <c r="P20" s="92">
        <f>N20+O20</f>
        <v>0</v>
      </c>
      <c r="Q20" s="85"/>
      <c r="R20" s="35"/>
      <c r="S20" s="92">
        <f>Q20+R20</f>
        <v>0</v>
      </c>
      <c r="T20" s="85"/>
      <c r="U20" s="35"/>
      <c r="V20" s="92"/>
      <c r="W20" s="199"/>
      <c r="X20" s="114"/>
      <c r="Y20" s="217"/>
      <c r="Z20" s="189">
        <f>Z23</f>
        <v>249636.5</v>
      </c>
      <c r="AA20" s="189">
        <f t="shared" ref="AA20:AB20" si="23">AA23</f>
        <v>-249636.5</v>
      </c>
      <c r="AB20" s="203">
        <f t="shared" si="23"/>
        <v>0</v>
      </c>
      <c r="AC20" s="189">
        <f>AC23</f>
        <v>300000</v>
      </c>
      <c r="AD20" s="189">
        <f t="shared" ref="AD20:AE20" si="24">AD23</f>
        <v>130000</v>
      </c>
      <c r="AE20" s="203">
        <f t="shared" si="24"/>
        <v>430000</v>
      </c>
      <c r="AF20" s="189">
        <f>AF23</f>
        <v>318141.59999999998</v>
      </c>
      <c r="AG20" s="189">
        <f t="shared" ref="AG20:AH20" si="25">AG23</f>
        <v>117102.9</v>
      </c>
      <c r="AH20" s="203">
        <f t="shared" si="25"/>
        <v>435244.5</v>
      </c>
    </row>
    <row r="21" spans="1:37" ht="22.5" customHeight="1" x14ac:dyDescent="0.3">
      <c r="A21" s="16" t="s">
        <v>25</v>
      </c>
      <c r="B21" s="6" t="s">
        <v>23</v>
      </c>
      <c r="C21" s="52"/>
      <c r="D21" s="53"/>
      <c r="E21" s="53"/>
      <c r="F21" s="53"/>
      <c r="G21" s="7"/>
      <c r="H21" s="137"/>
      <c r="I21" s="107"/>
      <c r="J21" s="99"/>
      <c r="K21" s="7"/>
      <c r="L21" s="7"/>
      <c r="M21" s="93">
        <v>0</v>
      </c>
      <c r="N21" s="174">
        <f>N22+N23</f>
        <v>0</v>
      </c>
      <c r="O21" s="71">
        <f>O22+O23</f>
        <v>0</v>
      </c>
      <c r="P21" s="179">
        <f>N21+O21</f>
        <v>0</v>
      </c>
      <c r="Q21" s="174"/>
      <c r="R21" s="71"/>
      <c r="S21" s="179">
        <f>Q21+R21</f>
        <v>0</v>
      </c>
      <c r="T21" s="174"/>
      <c r="U21" s="71"/>
      <c r="V21" s="179"/>
      <c r="W21" s="178">
        <f>W22</f>
        <v>15000</v>
      </c>
      <c r="X21" s="178">
        <f t="shared" ref="X21:Y21" si="26">X22</f>
        <v>-10069.5</v>
      </c>
      <c r="Y21" s="184">
        <f t="shared" si="26"/>
        <v>4930.5</v>
      </c>
      <c r="Z21" s="178">
        <f>Z22</f>
        <v>0</v>
      </c>
      <c r="AA21" s="178">
        <f t="shared" ref="AA21:AB21" si="27">AA22</f>
        <v>12603.1</v>
      </c>
      <c r="AB21" s="184">
        <f t="shared" si="27"/>
        <v>12603.1</v>
      </c>
      <c r="AC21" s="178"/>
      <c r="AD21" s="112"/>
      <c r="AE21" s="184"/>
      <c r="AF21" s="178"/>
      <c r="AG21" s="2"/>
      <c r="AH21" s="96"/>
    </row>
    <row r="22" spans="1:37" ht="17.25" customHeight="1" x14ac:dyDescent="0.3">
      <c r="A22" s="16"/>
      <c r="B22" s="6" t="s">
        <v>35</v>
      </c>
      <c r="C22" s="8"/>
      <c r="D22" s="7"/>
      <c r="E22" s="7"/>
      <c r="F22" s="7"/>
      <c r="G22" s="7"/>
      <c r="H22" s="137"/>
      <c r="I22" s="108"/>
      <c r="J22" s="12"/>
      <c r="K22" s="7"/>
      <c r="L22" s="7"/>
      <c r="M22" s="93">
        <v>0</v>
      </c>
      <c r="N22" s="174">
        <f>730-730</f>
        <v>0</v>
      </c>
      <c r="O22" s="71"/>
      <c r="P22" s="179">
        <f t="shared" ref="P22:P23" si="28">N22+O22</f>
        <v>0</v>
      </c>
      <c r="Q22" s="174"/>
      <c r="R22" s="71"/>
      <c r="S22" s="179">
        <f t="shared" ref="S22:S23" si="29">Q22+R22</f>
        <v>0</v>
      </c>
      <c r="T22" s="174"/>
      <c r="U22" s="71"/>
      <c r="V22" s="179"/>
      <c r="W22" s="178">
        <v>15000</v>
      </c>
      <c r="X22" s="112">
        <v>-10069.5</v>
      </c>
      <c r="Y22" s="184">
        <f>W22+X22</f>
        <v>4930.5</v>
      </c>
      <c r="Z22" s="178"/>
      <c r="AA22" s="112">
        <v>12603.1</v>
      </c>
      <c r="AB22" s="184">
        <f>Z22+AA22</f>
        <v>12603.1</v>
      </c>
      <c r="AC22" s="178"/>
      <c r="AD22" s="112"/>
      <c r="AE22" s="184"/>
      <c r="AF22" s="178"/>
      <c r="AG22" s="2"/>
      <c r="AH22" s="96"/>
    </row>
    <row r="23" spans="1:37" ht="17.25" customHeight="1" x14ac:dyDescent="0.3">
      <c r="A23" s="16"/>
      <c r="B23" s="6" t="s">
        <v>36</v>
      </c>
      <c r="C23" s="8"/>
      <c r="D23" s="7"/>
      <c r="E23" s="7"/>
      <c r="F23" s="7"/>
      <c r="G23" s="7"/>
      <c r="H23" s="137"/>
      <c r="I23" s="108"/>
      <c r="J23" s="12"/>
      <c r="K23" s="7"/>
      <c r="L23" s="7"/>
      <c r="M23" s="93">
        <v>0</v>
      </c>
      <c r="N23" s="95"/>
      <c r="O23" s="69"/>
      <c r="P23" s="179">
        <f t="shared" si="28"/>
        <v>0</v>
      </c>
      <c r="Q23" s="84"/>
      <c r="R23" s="48"/>
      <c r="S23" s="179">
        <f t="shared" si="29"/>
        <v>0</v>
      </c>
      <c r="T23" s="84"/>
      <c r="U23" s="48"/>
      <c r="V23" s="91"/>
      <c r="W23" s="200"/>
      <c r="X23" s="115"/>
      <c r="Y23" s="218"/>
      <c r="Z23" s="211">
        <f>71136.5+178500</f>
        <v>249636.5</v>
      </c>
      <c r="AA23" s="134">
        <v>-249636.5</v>
      </c>
      <c r="AB23" s="223">
        <f>Z23+AA23</f>
        <v>0</v>
      </c>
      <c r="AC23" s="178">
        <v>300000</v>
      </c>
      <c r="AD23" s="112">
        <v>130000</v>
      </c>
      <c r="AE23" s="184">
        <f>AC23+AD23</f>
        <v>430000</v>
      </c>
      <c r="AF23" s="178">
        <f>317411.6+730</f>
        <v>318141.59999999998</v>
      </c>
      <c r="AG23" s="2">
        <v>117102.9</v>
      </c>
      <c r="AH23" s="184">
        <f>AF23+AG23</f>
        <v>435244.5</v>
      </c>
    </row>
    <row r="24" spans="1:37" ht="80.25" customHeight="1" x14ac:dyDescent="0.3">
      <c r="A24" s="151">
        <v>6</v>
      </c>
      <c r="B24" s="43" t="s">
        <v>18</v>
      </c>
      <c r="C24" s="168" t="s">
        <v>16</v>
      </c>
      <c r="D24" s="14">
        <v>2023</v>
      </c>
      <c r="E24" s="14"/>
      <c r="F24" s="14">
        <v>43.15</v>
      </c>
      <c r="G24" s="14">
        <v>4.3150000000000001E-2</v>
      </c>
      <c r="H24" s="140">
        <v>1605.96549</v>
      </c>
      <c r="I24" s="91">
        <f>64167.266+55</f>
        <v>64222.266000000003</v>
      </c>
      <c r="J24" s="47"/>
      <c r="K24" s="14">
        <v>43.15</v>
      </c>
      <c r="L24" s="167" t="e">
        <f>#REF!+#REF!</f>
        <v>#REF!</v>
      </c>
      <c r="M24" s="91">
        <f t="shared" ref="M24:Y24" si="30">M27+M28</f>
        <v>0</v>
      </c>
      <c r="N24" s="84">
        <f>N25+N26</f>
        <v>0</v>
      </c>
      <c r="O24" s="84">
        <f t="shared" ref="O24:P24" si="31">O25+O26</f>
        <v>0</v>
      </c>
      <c r="P24" s="91">
        <f t="shared" si="31"/>
        <v>0</v>
      </c>
      <c r="Q24" s="84">
        <f>Q25+Q26</f>
        <v>20000</v>
      </c>
      <c r="R24" s="84">
        <f t="shared" ref="R24:S24" si="32">R25+R26</f>
        <v>-17000</v>
      </c>
      <c r="S24" s="91">
        <f t="shared" si="32"/>
        <v>3000</v>
      </c>
      <c r="T24" s="84">
        <f>T25+T26</f>
        <v>42616.3</v>
      </c>
      <c r="U24" s="84">
        <f t="shared" ref="U24:V24" si="33">U25+U26</f>
        <v>0</v>
      </c>
      <c r="V24" s="91">
        <f t="shared" si="33"/>
        <v>42616.3</v>
      </c>
      <c r="W24" s="84">
        <f t="shared" si="30"/>
        <v>0</v>
      </c>
      <c r="X24" s="84">
        <f t="shared" si="30"/>
        <v>17000</v>
      </c>
      <c r="Y24" s="311">
        <f t="shared" si="30"/>
        <v>17000</v>
      </c>
      <c r="Z24" s="212"/>
      <c r="AA24" s="169"/>
      <c r="AB24" s="224"/>
      <c r="AC24" s="212"/>
      <c r="AD24" s="169"/>
      <c r="AE24" s="224"/>
      <c r="AF24" s="190"/>
      <c r="AG24" s="76"/>
      <c r="AH24" s="96"/>
      <c r="AI24" s="40">
        <f>I24-S24-V24-Y24</f>
        <v>1605.9660000000003</v>
      </c>
      <c r="AJ24" s="300" t="s">
        <v>94</v>
      </c>
    </row>
    <row r="25" spans="1:37" ht="20.25" customHeight="1" x14ac:dyDescent="0.3">
      <c r="A25" s="242"/>
      <c r="B25" s="26" t="s">
        <v>22</v>
      </c>
      <c r="C25" s="27"/>
      <c r="D25" s="28"/>
      <c r="E25" s="28"/>
      <c r="F25" s="28"/>
      <c r="G25" s="28"/>
      <c r="H25" s="138"/>
      <c r="I25" s="92"/>
      <c r="J25" s="34"/>
      <c r="K25" s="28"/>
      <c r="L25" s="19"/>
      <c r="M25" s="92"/>
      <c r="N25" s="85"/>
      <c r="O25" s="35"/>
      <c r="P25" s="92"/>
      <c r="Q25" s="85"/>
      <c r="R25" s="35"/>
      <c r="S25" s="92"/>
      <c r="T25" s="85"/>
      <c r="U25" s="35"/>
      <c r="V25" s="92"/>
      <c r="W25" s="85"/>
      <c r="X25" s="35"/>
      <c r="Y25" s="92"/>
      <c r="Z25" s="198"/>
      <c r="AA25" s="113"/>
      <c r="AB25" s="216"/>
      <c r="AC25" s="198"/>
      <c r="AD25" s="113"/>
      <c r="AE25" s="216"/>
      <c r="AF25" s="189"/>
      <c r="AG25" s="246"/>
      <c r="AH25" s="235"/>
    </row>
    <row r="26" spans="1:37" ht="20.25" customHeight="1" x14ac:dyDescent="0.3">
      <c r="A26" s="242"/>
      <c r="B26" s="6" t="s">
        <v>23</v>
      </c>
      <c r="C26" s="168"/>
      <c r="D26" s="14"/>
      <c r="E26" s="14"/>
      <c r="F26" s="14"/>
      <c r="G26" s="14"/>
      <c r="H26" s="140"/>
      <c r="I26" s="91"/>
      <c r="J26" s="47"/>
      <c r="K26" s="14"/>
      <c r="L26" s="167"/>
      <c r="M26" s="91">
        <f>M27+M28</f>
        <v>0</v>
      </c>
      <c r="O26" s="48"/>
      <c r="P26" s="91">
        <f>N27+N28</f>
        <v>0</v>
      </c>
      <c r="Q26" s="84">
        <f>Q27+Q28</f>
        <v>20000</v>
      </c>
      <c r="R26" s="84">
        <f t="shared" ref="R26:S26" si="34">R27+R28</f>
        <v>-17000</v>
      </c>
      <c r="S26" s="91">
        <f t="shared" si="34"/>
        <v>3000</v>
      </c>
      <c r="T26" s="84">
        <f>T27+T28</f>
        <v>42616.3</v>
      </c>
      <c r="U26" s="84">
        <f t="shared" ref="U26:V26" si="35">U27+U28</f>
        <v>0</v>
      </c>
      <c r="V26" s="91">
        <f t="shared" si="35"/>
        <v>42616.3</v>
      </c>
      <c r="W26" s="84">
        <f>W28</f>
        <v>0</v>
      </c>
      <c r="X26" s="84">
        <f t="shared" ref="X26:Y26" si="36">X28</f>
        <v>17000</v>
      </c>
      <c r="Y26" s="311">
        <f t="shared" si="36"/>
        <v>17000</v>
      </c>
      <c r="Z26" s="212"/>
      <c r="AA26" s="169"/>
      <c r="AB26" s="224"/>
      <c r="AC26" s="212"/>
      <c r="AD26" s="169"/>
      <c r="AE26" s="224"/>
      <c r="AF26" s="190"/>
      <c r="AG26" s="76"/>
      <c r="AH26" s="96"/>
    </row>
    <row r="27" spans="1:37" ht="19.5" customHeight="1" x14ac:dyDescent="0.3">
      <c r="A27" s="151"/>
      <c r="B27" s="6" t="s">
        <v>35</v>
      </c>
      <c r="C27" s="8"/>
      <c r="D27" s="7"/>
      <c r="E27" s="7"/>
      <c r="F27" s="7"/>
      <c r="G27" s="7"/>
      <c r="H27" s="137"/>
      <c r="I27" s="105"/>
      <c r="J27" s="12"/>
      <c r="K27" s="7"/>
      <c r="L27" s="9"/>
      <c r="M27" s="93">
        <v>0</v>
      </c>
      <c r="N27" s="174"/>
      <c r="O27" s="71"/>
      <c r="P27" s="91">
        <f>N27+O27</f>
        <v>0</v>
      </c>
      <c r="Q27" s="174"/>
      <c r="R27" s="69">
        <v>3000</v>
      </c>
      <c r="S27" s="91">
        <f t="shared" ref="S27:S28" si="37">Q27+R27</f>
        <v>3000</v>
      </c>
      <c r="T27" s="174">
        <v>55</v>
      </c>
      <c r="U27" s="71"/>
      <c r="V27" s="179">
        <f>T27+U27</f>
        <v>55</v>
      </c>
      <c r="W27" s="178"/>
      <c r="X27" s="112"/>
      <c r="Y27" s="184"/>
      <c r="Z27" s="178"/>
      <c r="AA27" s="112"/>
      <c r="AB27" s="184"/>
      <c r="AC27" s="178"/>
      <c r="AD27" s="112"/>
      <c r="AE27" s="184"/>
      <c r="AF27" s="178"/>
      <c r="AG27" s="2"/>
      <c r="AH27" s="96"/>
    </row>
    <row r="28" spans="1:37" ht="19.5" customHeight="1" x14ac:dyDescent="0.3">
      <c r="A28" s="151"/>
      <c r="B28" s="6" t="s">
        <v>36</v>
      </c>
      <c r="C28" s="8"/>
      <c r="D28" s="7"/>
      <c r="E28" s="7"/>
      <c r="F28" s="7"/>
      <c r="G28" s="7"/>
      <c r="H28" s="137"/>
      <c r="I28" s="105"/>
      <c r="J28" s="12"/>
      <c r="K28" s="7"/>
      <c r="L28" s="9"/>
      <c r="M28" s="93">
        <v>0</v>
      </c>
      <c r="N28" s="174">
        <f>38500*1.044+2367.3-42561.3</f>
        <v>0</v>
      </c>
      <c r="O28" s="71"/>
      <c r="P28" s="91">
        <f>N28+O28</f>
        <v>0</v>
      </c>
      <c r="Q28" s="95">
        <v>20000</v>
      </c>
      <c r="R28" s="69">
        <v>-20000</v>
      </c>
      <c r="S28" s="91">
        <f t="shared" si="37"/>
        <v>0</v>
      </c>
      <c r="T28" s="174">
        <v>42561.3</v>
      </c>
      <c r="U28" s="71"/>
      <c r="V28" s="179">
        <f>T28+U28</f>
        <v>42561.3</v>
      </c>
      <c r="W28" s="178"/>
      <c r="X28" s="112">
        <v>17000</v>
      </c>
      <c r="Y28" s="184">
        <f>W28+X28</f>
        <v>17000</v>
      </c>
      <c r="Z28" s="178"/>
      <c r="AA28" s="112"/>
      <c r="AB28" s="184"/>
      <c r="AC28" s="178"/>
      <c r="AD28" s="112"/>
      <c r="AE28" s="184"/>
      <c r="AF28" s="178"/>
      <c r="AG28" s="2"/>
      <c r="AH28" s="96"/>
    </row>
    <row r="29" spans="1:37" ht="105" customHeight="1" x14ac:dyDescent="0.3">
      <c r="A29" s="59">
        <v>17</v>
      </c>
      <c r="B29" s="317" t="s">
        <v>102</v>
      </c>
      <c r="C29" s="318"/>
      <c r="D29" s="319" t="s">
        <v>52</v>
      </c>
      <c r="E29" s="319">
        <v>2.83</v>
      </c>
      <c r="F29" s="320">
        <v>318</v>
      </c>
      <c r="G29" s="319"/>
      <c r="H29" s="321"/>
      <c r="I29" s="322">
        <v>2860323.6</v>
      </c>
      <c r="J29" s="187"/>
      <c r="K29" s="320"/>
      <c r="L29" s="49"/>
      <c r="M29" s="206">
        <f t="shared" ref="M29:AC29" si="38">M30+M31</f>
        <v>5687.2</v>
      </c>
      <c r="N29" s="187">
        <f t="shared" si="38"/>
        <v>5885.5999999999995</v>
      </c>
      <c r="O29" s="49">
        <f t="shared" si="38"/>
        <v>21801.5</v>
      </c>
      <c r="P29" s="206">
        <f t="shared" si="38"/>
        <v>27687.1</v>
      </c>
      <c r="Q29" s="187">
        <f t="shared" si="38"/>
        <v>20000</v>
      </c>
      <c r="R29" s="49">
        <f t="shared" si="38"/>
        <v>480000</v>
      </c>
      <c r="S29" s="206">
        <f t="shared" si="38"/>
        <v>500000</v>
      </c>
      <c r="T29" s="187">
        <f t="shared" si="38"/>
        <v>350000</v>
      </c>
      <c r="U29" s="49">
        <f t="shared" si="38"/>
        <v>1238540</v>
      </c>
      <c r="V29" s="206">
        <f t="shared" si="38"/>
        <v>1588540</v>
      </c>
      <c r="W29" s="187">
        <f t="shared" si="38"/>
        <v>430919.9</v>
      </c>
      <c r="X29" s="187">
        <f t="shared" si="38"/>
        <v>312033.7</v>
      </c>
      <c r="Y29" s="334">
        <f t="shared" si="38"/>
        <v>742953.6</v>
      </c>
      <c r="Z29" s="187">
        <f t="shared" si="38"/>
        <v>493811.3</v>
      </c>
      <c r="AA29" s="187">
        <f t="shared" si="38"/>
        <v>-493811.3</v>
      </c>
      <c r="AB29" s="334">
        <f t="shared" si="38"/>
        <v>0</v>
      </c>
      <c r="AC29" s="187">
        <f t="shared" si="38"/>
        <v>0</v>
      </c>
      <c r="AD29" s="49"/>
      <c r="AE29" s="206"/>
      <c r="AF29" s="327"/>
      <c r="AG29" s="335"/>
      <c r="AH29" s="336"/>
      <c r="AI29" s="40">
        <f>I29-P29-S29-V29-Y29-AB29</f>
        <v>1142.9000000000233</v>
      </c>
      <c r="AJ29" s="300">
        <v>1142.88967</v>
      </c>
      <c r="AK29" s="300" t="s">
        <v>103</v>
      </c>
    </row>
    <row r="30" spans="1:37" s="58" customFormat="1" ht="21.75" customHeight="1" x14ac:dyDescent="0.3">
      <c r="A30" s="60"/>
      <c r="B30" s="57" t="s">
        <v>20</v>
      </c>
      <c r="C30" s="33"/>
      <c r="D30" s="28"/>
      <c r="E30" s="28"/>
      <c r="F30" s="34"/>
      <c r="G30" s="28"/>
      <c r="H30" s="138"/>
      <c r="I30" s="92"/>
      <c r="J30" s="85"/>
      <c r="K30" s="34"/>
      <c r="L30" s="35"/>
      <c r="M30" s="92">
        <v>0</v>
      </c>
      <c r="N30" s="85"/>
      <c r="O30" s="35">
        <f>O33</f>
        <v>21801.5</v>
      </c>
      <c r="P30" s="92">
        <f>N30+O30</f>
        <v>21801.5</v>
      </c>
      <c r="Q30" s="85"/>
      <c r="R30" s="35">
        <v>450000</v>
      </c>
      <c r="S30" s="92">
        <f>Q30+R30</f>
        <v>450000</v>
      </c>
      <c r="T30" s="189">
        <v>318200</v>
      </c>
      <c r="U30" s="37">
        <v>1111486</v>
      </c>
      <c r="V30" s="203">
        <f>T30+U30</f>
        <v>1429686</v>
      </c>
      <c r="W30" s="189">
        <v>391811.9</v>
      </c>
      <c r="X30" s="37">
        <v>276846.3</v>
      </c>
      <c r="Y30" s="203">
        <f>W30+X30</f>
        <v>668658.19999999995</v>
      </c>
      <c r="Z30" s="189">
        <f>514080.1-46600</f>
        <v>467480.1</v>
      </c>
      <c r="AA30" s="37">
        <v>-467480.1</v>
      </c>
      <c r="AB30" s="203">
        <f>Z30+AA30</f>
        <v>0</v>
      </c>
      <c r="AC30" s="198"/>
      <c r="AD30" s="113"/>
      <c r="AE30" s="216"/>
      <c r="AF30" s="198"/>
      <c r="AG30" s="198"/>
      <c r="AH30" s="216"/>
    </row>
    <row r="31" spans="1:37" ht="22.5" customHeight="1" x14ac:dyDescent="0.3">
      <c r="A31" s="59"/>
      <c r="B31" s="3" t="s">
        <v>21</v>
      </c>
      <c r="C31" s="46"/>
      <c r="D31" s="14"/>
      <c r="E31" s="14"/>
      <c r="F31" s="47"/>
      <c r="G31" s="14"/>
      <c r="H31" s="140"/>
      <c r="I31" s="91"/>
      <c r="J31" s="84"/>
      <c r="K31" s="47"/>
      <c r="L31" s="48"/>
      <c r="M31" s="91">
        <f t="shared" ref="M31" si="39">M32</f>
        <v>5687.2</v>
      </c>
      <c r="N31" s="84">
        <f>N32</f>
        <v>5885.5999999999995</v>
      </c>
      <c r="O31" s="48">
        <f>O32</f>
        <v>0</v>
      </c>
      <c r="P31" s="91">
        <f>N31+O31</f>
        <v>5885.5999999999995</v>
      </c>
      <c r="Q31" s="84">
        <f>Q32</f>
        <v>20000</v>
      </c>
      <c r="R31" s="48">
        <f>R32+27300</f>
        <v>30000</v>
      </c>
      <c r="S31" s="91">
        <f>Q31+R31</f>
        <v>50000</v>
      </c>
      <c r="T31" s="190">
        <v>31800</v>
      </c>
      <c r="U31" s="50">
        <v>127054</v>
      </c>
      <c r="V31" s="204">
        <f>T31+U31</f>
        <v>158854</v>
      </c>
      <c r="W31" s="197">
        <v>39108</v>
      </c>
      <c r="X31" s="111">
        <v>35187.4</v>
      </c>
      <c r="Y31" s="215">
        <f>W31+X31</f>
        <v>74295.399999999994</v>
      </c>
      <c r="Z31" s="197">
        <f>46600-70.4-20198.4</f>
        <v>26331.199999999997</v>
      </c>
      <c r="AA31" s="111">
        <v>-26331.200000000001</v>
      </c>
      <c r="AB31" s="215">
        <f>Z31+AA31</f>
        <v>0</v>
      </c>
      <c r="AC31" s="178"/>
      <c r="AD31" s="112"/>
      <c r="AE31" s="184"/>
      <c r="AF31" s="178"/>
      <c r="AG31" s="2"/>
      <c r="AH31" s="96"/>
    </row>
    <row r="32" spans="1:37" ht="21.75" customHeight="1" x14ac:dyDescent="0.3">
      <c r="A32" s="59"/>
      <c r="B32" s="6" t="s">
        <v>35</v>
      </c>
      <c r="C32" s="46"/>
      <c r="D32" s="14"/>
      <c r="E32" s="14"/>
      <c r="F32" s="47"/>
      <c r="G32" s="14"/>
      <c r="H32" s="140"/>
      <c r="I32" s="91"/>
      <c r="J32" s="84"/>
      <c r="K32" s="47"/>
      <c r="L32" s="48"/>
      <c r="M32" s="91">
        <v>5687.2</v>
      </c>
      <c r="N32" s="84">
        <f>198.4+5687.2</f>
        <v>5885.5999999999995</v>
      </c>
      <c r="O32" s="48"/>
      <c r="P32" s="91">
        <f t="shared" ref="P32:P33" si="40">N32+O32</f>
        <v>5885.5999999999995</v>
      </c>
      <c r="Q32" s="84">
        <v>20000</v>
      </c>
      <c r="R32" s="48">
        <f>2700</f>
        <v>2700</v>
      </c>
      <c r="S32" s="91">
        <f t="shared" ref="S32:S33" si="41">Q32+R32</f>
        <v>22700</v>
      </c>
      <c r="T32" s="190"/>
      <c r="U32" s="50"/>
      <c r="V32" s="204"/>
      <c r="W32" s="178"/>
      <c r="X32" s="112"/>
      <c r="Y32" s="184"/>
      <c r="Z32" s="178"/>
      <c r="AA32" s="112"/>
      <c r="AB32" s="184"/>
      <c r="AC32" s="178"/>
      <c r="AD32" s="112"/>
      <c r="AE32" s="184"/>
      <c r="AF32" s="178"/>
      <c r="AG32" s="2"/>
      <c r="AH32" s="96"/>
    </row>
    <row r="33" spans="1:35" ht="46.5" customHeight="1" x14ac:dyDescent="0.3">
      <c r="A33" s="59"/>
      <c r="B33" s="6" t="s">
        <v>104</v>
      </c>
      <c r="C33" s="46"/>
      <c r="D33" s="14"/>
      <c r="E33" s="14"/>
      <c r="F33" s="47"/>
      <c r="G33" s="14"/>
      <c r="H33" s="140"/>
      <c r="I33" s="91"/>
      <c r="J33" s="84"/>
      <c r="K33" s="47"/>
      <c r="L33" s="48"/>
      <c r="M33" s="91">
        <v>0</v>
      </c>
      <c r="N33" s="84"/>
      <c r="O33" s="48">
        <f>22000-198.5</f>
        <v>21801.5</v>
      </c>
      <c r="P33" s="91">
        <f t="shared" si="40"/>
        <v>21801.5</v>
      </c>
      <c r="Q33" s="84"/>
      <c r="R33" s="48">
        <v>477300</v>
      </c>
      <c r="S33" s="91">
        <f t="shared" si="41"/>
        <v>477300</v>
      </c>
      <c r="T33" s="84">
        <v>350000</v>
      </c>
      <c r="U33" s="48">
        <v>1238540</v>
      </c>
      <c r="V33" s="91">
        <f>T33+U33</f>
        <v>1588540</v>
      </c>
      <c r="W33" s="197">
        <v>430919.9</v>
      </c>
      <c r="X33" s="111">
        <v>312033.7</v>
      </c>
      <c r="Y33" s="215">
        <f>W33+X33</f>
        <v>742953.60000000009</v>
      </c>
      <c r="Z33" s="197">
        <v>493811.3</v>
      </c>
      <c r="AA33" s="111">
        <v>-493811.3</v>
      </c>
      <c r="AB33" s="215">
        <f>Z33+AA33</f>
        <v>0</v>
      </c>
      <c r="AC33" s="178"/>
      <c r="AD33" s="112"/>
      <c r="AE33" s="184"/>
      <c r="AF33" s="178"/>
      <c r="AG33" s="2"/>
      <c r="AH33" s="96"/>
    </row>
    <row r="34" spans="1:35" s="58" customFormat="1" ht="90.75" customHeight="1" x14ac:dyDescent="0.3">
      <c r="A34" s="236"/>
      <c r="B34" s="317" t="s">
        <v>59</v>
      </c>
      <c r="C34" s="318"/>
      <c r="D34" s="319" t="s">
        <v>48</v>
      </c>
      <c r="E34" s="319">
        <v>2.5</v>
      </c>
      <c r="F34" s="320"/>
      <c r="G34" s="319"/>
      <c r="H34" s="321"/>
      <c r="I34" s="322">
        <v>1768282</v>
      </c>
      <c r="J34" s="187"/>
      <c r="K34" s="320"/>
      <c r="L34" s="49"/>
      <c r="M34" s="206"/>
      <c r="N34" s="187">
        <f t="shared" ref="N34:S34" si="42">N35+N36</f>
        <v>16252</v>
      </c>
      <c r="O34" s="49">
        <f t="shared" si="42"/>
        <v>0</v>
      </c>
      <c r="P34" s="206">
        <f t="shared" si="42"/>
        <v>16252</v>
      </c>
      <c r="Q34" s="323">
        <f t="shared" si="42"/>
        <v>489194</v>
      </c>
      <c r="R34" s="324">
        <f t="shared" si="42"/>
        <v>-450000</v>
      </c>
      <c r="S34" s="325">
        <f t="shared" si="42"/>
        <v>39194</v>
      </c>
      <c r="T34" s="323">
        <f t="shared" ref="T34:Y34" si="43">T35+T36</f>
        <v>700000</v>
      </c>
      <c r="U34" s="324">
        <f t="shared" si="43"/>
        <v>-700000</v>
      </c>
      <c r="V34" s="325">
        <f t="shared" si="43"/>
        <v>0</v>
      </c>
      <c r="W34" s="323">
        <f t="shared" si="43"/>
        <v>274236</v>
      </c>
      <c r="X34" s="323">
        <f t="shared" si="43"/>
        <v>300000</v>
      </c>
      <c r="Y34" s="326">
        <f t="shared" si="43"/>
        <v>574236</v>
      </c>
      <c r="Z34" s="327">
        <f>Z35+Z36</f>
        <v>0</v>
      </c>
      <c r="AA34" s="327">
        <f t="shared" ref="AA34:AB34" si="44">AA35+AA36</f>
        <v>850000</v>
      </c>
      <c r="AB34" s="328">
        <f t="shared" si="44"/>
        <v>850000</v>
      </c>
      <c r="AC34" s="329"/>
      <c r="AD34" s="330"/>
      <c r="AE34" s="331"/>
      <c r="AF34" s="329"/>
      <c r="AG34" s="332"/>
      <c r="AH34" s="333"/>
      <c r="AI34" s="301">
        <f>I34-P34-S34-V34-Y34-AB34</f>
        <v>288600</v>
      </c>
    </row>
    <row r="35" spans="1:35" s="133" customFormat="1" ht="21" customHeight="1" x14ac:dyDescent="0.3">
      <c r="A35" s="60"/>
      <c r="B35" s="57" t="s">
        <v>20</v>
      </c>
      <c r="C35" s="33"/>
      <c r="D35" s="28"/>
      <c r="E35" s="28"/>
      <c r="F35" s="34"/>
      <c r="G35" s="28"/>
      <c r="H35" s="138"/>
      <c r="I35" s="92"/>
      <c r="J35" s="85"/>
      <c r="K35" s="34"/>
      <c r="L35" s="35"/>
      <c r="M35" s="92"/>
      <c r="N35" s="35">
        <f>N38</f>
        <v>0</v>
      </c>
      <c r="O35" s="35">
        <f>O38</f>
        <v>0</v>
      </c>
      <c r="P35" s="35">
        <f>P38</f>
        <v>0</v>
      </c>
      <c r="Q35" s="186">
        <f>Q38</f>
        <v>450000</v>
      </c>
      <c r="R35" s="186">
        <f t="shared" ref="R35:S35" si="45">R38</f>
        <v>-450000</v>
      </c>
      <c r="S35" s="296">
        <f t="shared" si="45"/>
        <v>0</v>
      </c>
      <c r="T35" s="189">
        <v>700000</v>
      </c>
      <c r="U35" s="37">
        <v>-700000</v>
      </c>
      <c r="V35" s="203">
        <f>T35+U35</f>
        <v>0</v>
      </c>
      <c r="W35" s="189">
        <v>274236</v>
      </c>
      <c r="X35" s="37">
        <v>300000</v>
      </c>
      <c r="Y35" s="203">
        <f>W35+X35</f>
        <v>574236</v>
      </c>
      <c r="Z35" s="189"/>
      <c r="AA35" s="37">
        <v>850000</v>
      </c>
      <c r="AB35" s="203">
        <f>Z35+AA35</f>
        <v>850000</v>
      </c>
      <c r="AC35" s="198"/>
      <c r="AD35" s="113"/>
      <c r="AE35" s="216"/>
      <c r="AF35" s="198"/>
      <c r="AG35" s="232"/>
      <c r="AH35" s="235"/>
    </row>
    <row r="36" spans="1:35" ht="21" customHeight="1" x14ac:dyDescent="0.3">
      <c r="A36" s="59"/>
      <c r="B36" s="3" t="s">
        <v>21</v>
      </c>
      <c r="C36" s="46"/>
      <c r="D36" s="14"/>
      <c r="E36" s="14"/>
      <c r="F36" s="47"/>
      <c r="G36" s="14"/>
      <c r="H36" s="140"/>
      <c r="I36" s="91"/>
      <c r="J36" s="84"/>
      <c r="K36" s="47"/>
      <c r="L36" s="48"/>
      <c r="M36" s="91"/>
      <c r="N36" s="84">
        <f t="shared" ref="N36:S36" si="46">N37</f>
        <v>16252</v>
      </c>
      <c r="O36" s="48">
        <f t="shared" si="46"/>
        <v>0</v>
      </c>
      <c r="P36" s="91">
        <f t="shared" si="46"/>
        <v>16252</v>
      </c>
      <c r="Q36" s="185">
        <f t="shared" si="46"/>
        <v>39194</v>
      </c>
      <c r="R36" s="121">
        <f t="shared" si="46"/>
        <v>0</v>
      </c>
      <c r="S36" s="196">
        <f t="shared" si="46"/>
        <v>39194</v>
      </c>
      <c r="T36" s="190"/>
      <c r="U36" s="50"/>
      <c r="V36" s="204"/>
      <c r="W36" s="197"/>
      <c r="X36" s="111"/>
      <c r="Y36" s="215"/>
      <c r="Z36" s="197"/>
      <c r="AA36" s="111"/>
      <c r="AB36" s="215"/>
      <c r="AC36" s="178"/>
      <c r="AD36" s="112"/>
      <c r="AE36" s="184"/>
      <c r="AF36" s="178"/>
      <c r="AG36" s="2"/>
      <c r="AH36" s="96"/>
    </row>
    <row r="37" spans="1:35" ht="21" customHeight="1" x14ac:dyDescent="0.3">
      <c r="A37" s="59"/>
      <c r="B37" s="6" t="s">
        <v>35</v>
      </c>
      <c r="C37" s="46"/>
      <c r="D37" s="14"/>
      <c r="E37" s="14"/>
      <c r="F37" s="47"/>
      <c r="G37" s="14"/>
      <c r="H37" s="140"/>
      <c r="I37" s="91"/>
      <c r="J37" s="84"/>
      <c r="K37" s="47"/>
      <c r="L37" s="48"/>
      <c r="M37" s="91"/>
      <c r="N37" s="84">
        <f>25682-9430</f>
        <v>16252</v>
      </c>
      <c r="O37" s="48"/>
      <c r="P37" s="91">
        <f>N37+O37</f>
        <v>16252</v>
      </c>
      <c r="Q37" s="185">
        <f>29764+9430</f>
        <v>39194</v>
      </c>
      <c r="R37" s="121"/>
      <c r="S37" s="91">
        <f>Q37+R37</f>
        <v>39194</v>
      </c>
      <c r="T37" s="190"/>
      <c r="U37" s="50"/>
      <c r="V37" s="204"/>
      <c r="W37" s="197"/>
      <c r="X37" s="111"/>
      <c r="Y37" s="215"/>
      <c r="Z37" s="197"/>
      <c r="AA37" s="111"/>
      <c r="AB37" s="215"/>
      <c r="AC37" s="178"/>
      <c r="AD37" s="112"/>
      <c r="AE37" s="184"/>
      <c r="AF37" s="178"/>
      <c r="AG37" s="2"/>
      <c r="AH37" s="96"/>
    </row>
    <row r="38" spans="1:35" ht="34.5" customHeight="1" x14ac:dyDescent="0.3">
      <c r="A38" s="59"/>
      <c r="B38" s="6" t="s">
        <v>101</v>
      </c>
      <c r="C38" s="46"/>
      <c r="D38" s="14"/>
      <c r="E38" s="14"/>
      <c r="F38" s="47"/>
      <c r="G38" s="14"/>
      <c r="H38" s="140"/>
      <c r="I38" s="91"/>
      <c r="J38" s="84"/>
      <c r="K38" s="47"/>
      <c r="L38" s="48"/>
      <c r="M38" s="91"/>
      <c r="N38" s="84"/>
      <c r="O38" s="48"/>
      <c r="P38" s="91">
        <f>O38+N38</f>
        <v>0</v>
      </c>
      <c r="Q38" s="185">
        <v>450000</v>
      </c>
      <c r="R38" s="121">
        <v>-450000</v>
      </c>
      <c r="S38" s="91">
        <f>Q38+R38</f>
        <v>0</v>
      </c>
      <c r="T38" s="190"/>
      <c r="U38" s="50"/>
      <c r="V38" s="204"/>
      <c r="W38" s="197">
        <v>274236</v>
      </c>
      <c r="X38" s="111">
        <v>300000</v>
      </c>
      <c r="Y38" s="215">
        <f>W38+X38</f>
        <v>574236</v>
      </c>
      <c r="Z38" s="197"/>
      <c r="AA38" s="111">
        <v>850000</v>
      </c>
      <c r="AB38" s="215">
        <f>Z38+AA38</f>
        <v>850000</v>
      </c>
      <c r="AC38" s="178"/>
      <c r="AD38" s="112"/>
      <c r="AE38" s="184"/>
      <c r="AF38" s="178"/>
      <c r="AG38" s="2"/>
      <c r="AH38" s="96"/>
    </row>
    <row r="39" spans="1:35" ht="119.25" customHeight="1" x14ac:dyDescent="0.3">
      <c r="A39" s="59">
        <v>19</v>
      </c>
      <c r="B39" s="43" t="s">
        <v>55</v>
      </c>
      <c r="C39" s="46"/>
      <c r="D39" s="14" t="s">
        <v>49</v>
      </c>
      <c r="E39" s="14">
        <v>19.8</v>
      </c>
      <c r="F39" s="47"/>
      <c r="G39" s="14"/>
      <c r="H39" s="140"/>
      <c r="I39" s="170">
        <v>1572854.8</v>
      </c>
      <c r="J39" s="84"/>
      <c r="K39" s="47"/>
      <c r="L39" s="48"/>
      <c r="M39" s="91">
        <f t="shared" ref="M39:AB39" si="47">M40+M41</f>
        <v>0</v>
      </c>
      <c r="N39" s="84">
        <f t="shared" si="47"/>
        <v>0</v>
      </c>
      <c r="O39" s="48">
        <f t="shared" si="47"/>
        <v>0</v>
      </c>
      <c r="P39" s="91">
        <f t="shared" si="47"/>
        <v>0</v>
      </c>
      <c r="Q39" s="84">
        <f t="shared" si="47"/>
        <v>17017.599999999999</v>
      </c>
      <c r="R39" s="48">
        <f t="shared" si="47"/>
        <v>0</v>
      </c>
      <c r="S39" s="91">
        <f t="shared" ref="S39" si="48">Q39+R39</f>
        <v>17017.599999999999</v>
      </c>
      <c r="T39" s="84">
        <f t="shared" si="47"/>
        <v>400000</v>
      </c>
      <c r="U39" s="48">
        <f t="shared" si="47"/>
        <v>-400000</v>
      </c>
      <c r="V39" s="91">
        <f t="shared" si="47"/>
        <v>0</v>
      </c>
      <c r="W39" s="84">
        <f t="shared" si="47"/>
        <v>502767.6</v>
      </c>
      <c r="X39" s="84">
        <f t="shared" si="47"/>
        <v>0</v>
      </c>
      <c r="Y39" s="311">
        <f t="shared" si="47"/>
        <v>502767.6</v>
      </c>
      <c r="Z39" s="84">
        <f t="shared" si="47"/>
        <v>371232.4</v>
      </c>
      <c r="AA39" s="84">
        <f t="shared" si="47"/>
        <v>0</v>
      </c>
      <c r="AB39" s="311">
        <f t="shared" si="47"/>
        <v>371232.4</v>
      </c>
      <c r="AC39" s="190">
        <f>AC40+AC41</f>
        <v>0</v>
      </c>
      <c r="AD39" s="190">
        <f t="shared" ref="AD39:AE39" si="49">AD40+AD41</f>
        <v>401815.7</v>
      </c>
      <c r="AE39" s="312">
        <f t="shared" si="49"/>
        <v>401815.7</v>
      </c>
      <c r="AF39" s="190"/>
      <c r="AG39" s="76"/>
      <c r="AH39" s="96"/>
      <c r="AI39" s="40">
        <f>I39-S39-V39-Y39-AB39-AE39</f>
        <v>280021.50000000006</v>
      </c>
    </row>
    <row r="40" spans="1:35" s="58" customFormat="1" ht="30.75" customHeight="1" x14ac:dyDescent="0.3">
      <c r="A40" s="60"/>
      <c r="B40" s="57" t="s">
        <v>20</v>
      </c>
      <c r="C40" s="33"/>
      <c r="D40" s="28"/>
      <c r="E40" s="28"/>
      <c r="F40" s="34"/>
      <c r="G40" s="28"/>
      <c r="H40" s="138"/>
      <c r="I40" s="92"/>
      <c r="J40" s="85"/>
      <c r="K40" s="34"/>
      <c r="L40" s="35"/>
      <c r="M40" s="92">
        <v>0</v>
      </c>
      <c r="N40" s="85"/>
      <c r="O40" s="35"/>
      <c r="P40" s="92">
        <f>N40+O40</f>
        <v>0</v>
      </c>
      <c r="Q40" s="85"/>
      <c r="R40" s="35"/>
      <c r="S40" s="92">
        <f>Q40+R40</f>
        <v>0</v>
      </c>
      <c r="T40" s="189">
        <v>400000</v>
      </c>
      <c r="U40" s="37">
        <v>-400000</v>
      </c>
      <c r="V40" s="203">
        <f>T40+U40</f>
        <v>0</v>
      </c>
      <c r="W40" s="189">
        <v>502767.6</v>
      </c>
      <c r="X40" s="37"/>
      <c r="Y40" s="203">
        <f>W40+X40</f>
        <v>502767.6</v>
      </c>
      <c r="Z40" s="189">
        <f>371882.4-650</f>
        <v>371232.4</v>
      </c>
      <c r="AA40" s="37"/>
      <c r="AB40" s="203">
        <f>Z40+AA40</f>
        <v>371232.4</v>
      </c>
      <c r="AC40" s="198"/>
      <c r="AD40" s="37">
        <v>401815.7</v>
      </c>
      <c r="AE40" s="203">
        <f>AC40+AD40</f>
        <v>401815.7</v>
      </c>
      <c r="AF40" s="198"/>
      <c r="AG40" s="198"/>
      <c r="AH40" s="216"/>
    </row>
    <row r="41" spans="1:35" ht="21" customHeight="1" x14ac:dyDescent="0.3">
      <c r="A41" s="59"/>
      <c r="B41" s="3" t="s">
        <v>21</v>
      </c>
      <c r="C41" s="46"/>
      <c r="D41" s="14"/>
      <c r="E41" s="14"/>
      <c r="F41" s="47"/>
      <c r="G41" s="14"/>
      <c r="H41" s="140"/>
      <c r="I41" s="91"/>
      <c r="J41" s="84"/>
      <c r="K41" s="47"/>
      <c r="L41" s="48"/>
      <c r="M41" s="91">
        <f t="shared" ref="M41" si="50">M42</f>
        <v>0</v>
      </c>
      <c r="N41" s="84">
        <f>N42+N43</f>
        <v>0</v>
      </c>
      <c r="O41" s="48">
        <f t="shared" ref="O41:P41" si="51">O42+O43</f>
        <v>0</v>
      </c>
      <c r="P41" s="91">
        <f t="shared" si="51"/>
        <v>0</v>
      </c>
      <c r="Q41" s="84">
        <v>17017.599999999999</v>
      </c>
      <c r="R41" s="48"/>
      <c r="S41" s="91">
        <f>Q41+R41</f>
        <v>17017.599999999999</v>
      </c>
      <c r="T41" s="190"/>
      <c r="U41" s="50"/>
      <c r="V41" s="204"/>
      <c r="W41" s="178"/>
      <c r="X41" s="112"/>
      <c r="Y41" s="184"/>
      <c r="Z41" s="178"/>
      <c r="AA41" s="112"/>
      <c r="AB41" s="184"/>
      <c r="AC41" s="178"/>
      <c r="AD41" s="112"/>
      <c r="AE41" s="184"/>
      <c r="AF41" s="178"/>
      <c r="AG41" s="2"/>
      <c r="AH41" s="96"/>
    </row>
    <row r="42" spans="1:35" ht="21" customHeight="1" x14ac:dyDescent="0.3">
      <c r="A42" s="59"/>
      <c r="B42" s="6" t="s">
        <v>35</v>
      </c>
      <c r="C42" s="46"/>
      <c r="D42" s="14"/>
      <c r="E42" s="14"/>
      <c r="F42" s="47"/>
      <c r="G42" s="14"/>
      <c r="H42" s="140"/>
      <c r="I42" s="91"/>
      <c r="J42" s="84"/>
      <c r="K42" s="47"/>
      <c r="L42" s="48"/>
      <c r="M42" s="91">
        <v>0</v>
      </c>
      <c r="N42" s="84">
        <f>650-650</f>
        <v>0</v>
      </c>
      <c r="O42" s="48"/>
      <c r="P42" s="91">
        <f>N42+O42</f>
        <v>0</v>
      </c>
      <c r="Q42" s="84">
        <v>17017.599999999999</v>
      </c>
      <c r="R42" s="48"/>
      <c r="S42" s="91">
        <f t="shared" ref="S42:S44" si="52">Q42+R42</f>
        <v>17017.599999999999</v>
      </c>
      <c r="T42" s="190"/>
      <c r="U42" s="50"/>
      <c r="V42" s="204"/>
      <c r="W42" s="178"/>
      <c r="X42" s="112"/>
      <c r="Y42" s="184"/>
      <c r="Z42" s="178"/>
      <c r="AA42" s="112"/>
      <c r="AB42" s="184"/>
      <c r="AC42" s="178"/>
      <c r="AD42" s="112"/>
      <c r="AE42" s="184"/>
      <c r="AF42" s="178"/>
      <c r="AG42" s="2"/>
      <c r="AH42" s="96"/>
    </row>
    <row r="43" spans="1:35" ht="21" customHeight="1" x14ac:dyDescent="0.3">
      <c r="A43" s="59"/>
      <c r="B43" s="6" t="s">
        <v>36</v>
      </c>
      <c r="C43" s="46"/>
      <c r="D43" s="14"/>
      <c r="E43" s="14"/>
      <c r="F43" s="47"/>
      <c r="G43" s="14"/>
      <c r="H43" s="140"/>
      <c r="I43" s="91"/>
      <c r="J43" s="84"/>
      <c r="K43" s="47"/>
      <c r="L43" s="48"/>
      <c r="M43" s="91">
        <v>0</v>
      </c>
      <c r="N43" s="84"/>
      <c r="O43" s="48"/>
      <c r="P43" s="91"/>
      <c r="Q43" s="84"/>
      <c r="R43" s="48"/>
      <c r="S43" s="91">
        <f t="shared" si="52"/>
        <v>0</v>
      </c>
      <c r="T43" s="190">
        <v>400000</v>
      </c>
      <c r="U43" s="50">
        <v>-400000</v>
      </c>
      <c r="V43" s="204">
        <f>T43+U43</f>
        <v>0</v>
      </c>
      <c r="W43" s="197">
        <v>502767.6</v>
      </c>
      <c r="X43" s="111"/>
      <c r="Y43" s="215">
        <f>W43+X43</f>
        <v>502767.6</v>
      </c>
      <c r="Z43" s="197">
        <f>371882.4-650</f>
        <v>371232.4</v>
      </c>
      <c r="AA43" s="111"/>
      <c r="AB43" s="215">
        <f>Z43+AA43</f>
        <v>371232.4</v>
      </c>
      <c r="AC43" s="178"/>
      <c r="AD43" s="112">
        <v>401815.7</v>
      </c>
      <c r="AE43" s="184">
        <f>AC43+AD43</f>
        <v>401815.7</v>
      </c>
      <c r="AF43" s="178"/>
      <c r="AG43" s="2"/>
      <c r="AH43" s="96"/>
    </row>
    <row r="44" spans="1:35" ht="111.6" customHeight="1" x14ac:dyDescent="0.3">
      <c r="A44" s="59">
        <v>20</v>
      </c>
      <c r="B44" s="6" t="s">
        <v>38</v>
      </c>
      <c r="C44" s="46"/>
      <c r="D44" s="14" t="s">
        <v>50</v>
      </c>
      <c r="E44" s="14">
        <v>8.5</v>
      </c>
      <c r="F44" s="47"/>
      <c r="G44" s="14"/>
      <c r="H44" s="140"/>
      <c r="I44" s="91">
        <f>403800+1568.3+5075.1</f>
        <v>410443.39999999997</v>
      </c>
      <c r="J44" s="84"/>
      <c r="K44" s="47"/>
      <c r="L44" s="48"/>
      <c r="M44" s="91"/>
      <c r="N44" s="84"/>
      <c r="O44" s="48"/>
      <c r="P44" s="91"/>
      <c r="Q44" s="84">
        <f>Q45+Q46</f>
        <v>0</v>
      </c>
      <c r="R44" s="48"/>
      <c r="S44" s="91">
        <f t="shared" si="52"/>
        <v>0</v>
      </c>
      <c r="T44" s="84">
        <f>T45+T46</f>
        <v>0</v>
      </c>
      <c r="U44" s="48"/>
      <c r="V44" s="91"/>
      <c r="W44" s="84">
        <f t="shared" ref="W44:AH44" si="53">W45+W46</f>
        <v>1568.3</v>
      </c>
      <c r="X44" s="84">
        <f t="shared" si="53"/>
        <v>0</v>
      </c>
      <c r="Y44" s="91">
        <f t="shared" si="53"/>
        <v>1568.3</v>
      </c>
      <c r="Z44" s="84">
        <f t="shared" si="53"/>
        <v>5075.1000000000004</v>
      </c>
      <c r="AA44" s="84">
        <f t="shared" si="53"/>
        <v>0</v>
      </c>
      <c r="AB44" s="91">
        <f t="shared" si="53"/>
        <v>5075.1000000000004</v>
      </c>
      <c r="AC44" s="84">
        <f t="shared" si="53"/>
        <v>200000</v>
      </c>
      <c r="AD44" s="84">
        <f t="shared" si="53"/>
        <v>0</v>
      </c>
      <c r="AE44" s="91">
        <f t="shared" si="53"/>
        <v>200000</v>
      </c>
      <c r="AF44" s="84">
        <f t="shared" si="53"/>
        <v>203800</v>
      </c>
      <c r="AG44" s="84">
        <f t="shared" si="53"/>
        <v>0</v>
      </c>
      <c r="AH44" s="91">
        <f t="shared" si="53"/>
        <v>203800</v>
      </c>
      <c r="AI44" s="40">
        <f>I44-M44-P44-S44-V44-Y44-AB44-AE44-AH44</f>
        <v>0</v>
      </c>
    </row>
    <row r="45" spans="1:35" s="58" customFormat="1" ht="24" customHeight="1" x14ac:dyDescent="0.3">
      <c r="A45" s="60"/>
      <c r="B45" s="57" t="s">
        <v>20</v>
      </c>
      <c r="C45" s="33"/>
      <c r="D45" s="28"/>
      <c r="E45" s="28"/>
      <c r="F45" s="34"/>
      <c r="G45" s="28"/>
      <c r="H45" s="138"/>
      <c r="I45" s="92"/>
      <c r="J45" s="85"/>
      <c r="K45" s="34"/>
      <c r="L45" s="35"/>
      <c r="M45" s="92"/>
      <c r="N45" s="85"/>
      <c r="O45" s="35"/>
      <c r="P45" s="92"/>
      <c r="Q45" s="85"/>
      <c r="R45" s="35"/>
      <c r="S45" s="92">
        <f>Q45+R45</f>
        <v>0</v>
      </c>
      <c r="T45" s="189"/>
      <c r="U45" s="37"/>
      <c r="V45" s="203"/>
      <c r="W45" s="189"/>
      <c r="X45" s="37"/>
      <c r="Y45" s="203"/>
      <c r="Z45" s="189"/>
      <c r="AA45" s="37"/>
      <c r="AB45" s="203"/>
      <c r="AC45" s="189">
        <f>AC48</f>
        <v>200000</v>
      </c>
      <c r="AD45" s="189">
        <f t="shared" ref="AD45:AE45" si="54">AD48</f>
        <v>0</v>
      </c>
      <c r="AE45" s="203">
        <f t="shared" si="54"/>
        <v>200000</v>
      </c>
      <c r="AF45" s="189">
        <f>AF48</f>
        <v>203800</v>
      </c>
      <c r="AG45" s="189">
        <f t="shared" ref="AG45:AH45" si="55">AG48</f>
        <v>0</v>
      </c>
      <c r="AH45" s="203">
        <f t="shared" si="55"/>
        <v>203800</v>
      </c>
    </row>
    <row r="46" spans="1:35" ht="20.25" customHeight="1" x14ac:dyDescent="0.3">
      <c r="A46" s="59"/>
      <c r="B46" s="3" t="s">
        <v>21</v>
      </c>
      <c r="C46" s="46"/>
      <c r="D46" s="14"/>
      <c r="E46" s="14"/>
      <c r="F46" s="47"/>
      <c r="G46" s="14"/>
      <c r="H46" s="140"/>
      <c r="I46" s="91"/>
      <c r="J46" s="84"/>
      <c r="K46" s="47"/>
      <c r="L46" s="48"/>
      <c r="M46" s="91"/>
      <c r="N46" s="84"/>
      <c r="O46" s="48"/>
      <c r="P46" s="91"/>
      <c r="Q46" s="84"/>
      <c r="R46" s="48"/>
      <c r="S46" s="91">
        <f>Q46+R46</f>
        <v>0</v>
      </c>
      <c r="T46" s="84"/>
      <c r="U46" s="48"/>
      <c r="V46" s="91"/>
      <c r="W46" s="84">
        <f>W47</f>
        <v>1568.3</v>
      </c>
      <c r="X46" s="84">
        <f t="shared" ref="X46:Y46" si="56">X47</f>
        <v>0</v>
      </c>
      <c r="Y46" s="91">
        <f t="shared" si="56"/>
        <v>1568.3</v>
      </c>
      <c r="Z46" s="190">
        <f>Z47</f>
        <v>5075.1000000000004</v>
      </c>
      <c r="AA46" s="190">
        <f t="shared" ref="AA46:AB46" si="57">AA47</f>
        <v>0</v>
      </c>
      <c r="AB46" s="204">
        <f t="shared" si="57"/>
        <v>5075.1000000000004</v>
      </c>
      <c r="AC46" s="190"/>
      <c r="AD46" s="50"/>
      <c r="AE46" s="204"/>
      <c r="AF46" s="178"/>
      <c r="AG46" s="2"/>
      <c r="AH46" s="96"/>
    </row>
    <row r="47" spans="1:35" ht="21" customHeight="1" x14ac:dyDescent="0.3">
      <c r="A47" s="59"/>
      <c r="B47" s="6" t="s">
        <v>35</v>
      </c>
      <c r="C47" s="46"/>
      <c r="D47" s="14"/>
      <c r="E47" s="14"/>
      <c r="F47" s="47"/>
      <c r="G47" s="14"/>
      <c r="H47" s="140"/>
      <c r="I47" s="91"/>
      <c r="J47" s="84"/>
      <c r="K47" s="47"/>
      <c r="L47" s="48"/>
      <c r="M47" s="91"/>
      <c r="N47" s="84"/>
      <c r="O47" s="48"/>
      <c r="P47" s="91"/>
      <c r="Q47" s="84"/>
      <c r="R47" s="48"/>
      <c r="S47" s="91">
        <f t="shared" ref="S47:S48" si="58">Q47+R47</f>
        <v>0</v>
      </c>
      <c r="T47" s="84"/>
      <c r="U47" s="48"/>
      <c r="V47" s="91"/>
      <c r="W47" s="84">
        <v>1568.3</v>
      </c>
      <c r="X47" s="48"/>
      <c r="Y47" s="91">
        <f>W47+X47</f>
        <v>1568.3</v>
      </c>
      <c r="Z47" s="190">
        <v>5075.1000000000004</v>
      </c>
      <c r="AA47" s="50"/>
      <c r="AB47" s="204">
        <f>Z47+AA47</f>
        <v>5075.1000000000004</v>
      </c>
      <c r="AC47" s="190"/>
      <c r="AD47" s="50"/>
      <c r="AE47" s="204"/>
      <c r="AF47" s="178"/>
      <c r="AG47" s="2"/>
      <c r="AH47" s="96"/>
    </row>
    <row r="48" spans="1:35" ht="21" customHeight="1" x14ac:dyDescent="0.3">
      <c r="A48" s="59"/>
      <c r="B48" s="6" t="s">
        <v>36</v>
      </c>
      <c r="C48" s="46"/>
      <c r="D48" s="14"/>
      <c r="E48" s="14"/>
      <c r="F48" s="47"/>
      <c r="G48" s="14"/>
      <c r="H48" s="140"/>
      <c r="I48" s="91"/>
      <c r="J48" s="84"/>
      <c r="K48" s="47"/>
      <c r="L48" s="48"/>
      <c r="M48" s="91"/>
      <c r="N48" s="84"/>
      <c r="O48" s="48"/>
      <c r="P48" s="91"/>
      <c r="Q48" s="84"/>
      <c r="R48" s="48"/>
      <c r="S48" s="91">
        <f t="shared" si="58"/>
        <v>0</v>
      </c>
      <c r="T48" s="190"/>
      <c r="U48" s="50"/>
      <c r="V48" s="204"/>
      <c r="W48" s="178"/>
      <c r="X48" s="112"/>
      <c r="Y48" s="184"/>
      <c r="Z48" s="178"/>
      <c r="AA48" s="112"/>
      <c r="AB48" s="184"/>
      <c r="AC48" s="178">
        <v>200000</v>
      </c>
      <c r="AD48" s="112"/>
      <c r="AE48" s="184">
        <f>AC48+AD48</f>
        <v>200000</v>
      </c>
      <c r="AF48" s="178">
        <v>203800</v>
      </c>
      <c r="AG48" s="2"/>
      <c r="AH48" s="184">
        <f>AF48+AG48</f>
        <v>203800</v>
      </c>
    </row>
    <row r="49" spans="1:35" ht="77.25" customHeight="1" x14ac:dyDescent="0.3">
      <c r="A49" s="59"/>
      <c r="B49" s="6" t="s">
        <v>84</v>
      </c>
      <c r="C49" s="46" t="s">
        <v>16</v>
      </c>
      <c r="D49" s="14">
        <v>2024</v>
      </c>
      <c r="E49" s="14">
        <v>9.8190000000000008</v>
      </c>
      <c r="F49" s="47"/>
      <c r="G49" s="14"/>
      <c r="H49" s="140"/>
      <c r="I49" s="91">
        <v>763243</v>
      </c>
      <c r="J49" s="84"/>
      <c r="K49" s="47"/>
      <c r="L49" s="48"/>
      <c r="M49" s="91"/>
      <c r="N49" s="84"/>
      <c r="O49" s="48"/>
      <c r="P49" s="91"/>
      <c r="Q49" s="84"/>
      <c r="R49" s="48"/>
      <c r="S49" s="91"/>
      <c r="T49" s="190">
        <f>T50+T51</f>
        <v>9570</v>
      </c>
      <c r="U49" s="190">
        <f>U50+U51</f>
        <v>-9570</v>
      </c>
      <c r="V49" s="204">
        <f>V50+V51</f>
        <v>0</v>
      </c>
      <c r="W49" s="290">
        <f>W50+W51</f>
        <v>446909</v>
      </c>
      <c r="X49" s="290">
        <f t="shared" ref="X49:Y49" si="59">X50+X51</f>
        <v>-446909</v>
      </c>
      <c r="Y49" s="291">
        <f t="shared" si="59"/>
        <v>0</v>
      </c>
      <c r="Z49" s="290">
        <f>Z50+Z51</f>
        <v>306664</v>
      </c>
      <c r="AA49" s="290">
        <f t="shared" ref="AA49:AB49" si="60">AA50+AA51</f>
        <v>-306664</v>
      </c>
      <c r="AB49" s="291">
        <f t="shared" si="60"/>
        <v>0</v>
      </c>
      <c r="AC49" s="178"/>
      <c r="AD49" s="112"/>
      <c r="AE49" s="184"/>
      <c r="AF49" s="178"/>
      <c r="AG49" s="2"/>
      <c r="AH49" s="184"/>
    </row>
    <row r="50" spans="1:35" ht="21" customHeight="1" x14ac:dyDescent="0.3">
      <c r="A50" s="59"/>
      <c r="B50" s="26" t="s">
        <v>22</v>
      </c>
      <c r="C50" s="33"/>
      <c r="D50" s="28"/>
      <c r="E50" s="28"/>
      <c r="F50" s="34"/>
      <c r="G50" s="28"/>
      <c r="H50" s="138"/>
      <c r="I50" s="92"/>
      <c r="J50" s="85"/>
      <c r="K50" s="34"/>
      <c r="L50" s="35"/>
      <c r="M50" s="92"/>
      <c r="N50" s="85"/>
      <c r="O50" s="35"/>
      <c r="P50" s="92"/>
      <c r="Q50" s="85"/>
      <c r="R50" s="35"/>
      <c r="S50" s="92"/>
      <c r="T50" s="189"/>
      <c r="U50" s="37"/>
      <c r="V50" s="203"/>
      <c r="W50" s="198"/>
      <c r="X50" s="198"/>
      <c r="Y50" s="216"/>
      <c r="Z50" s="198"/>
      <c r="AA50" s="198"/>
      <c r="AB50" s="216"/>
      <c r="AC50" s="198"/>
      <c r="AD50" s="113"/>
      <c r="AE50" s="216"/>
      <c r="AF50" s="198"/>
      <c r="AG50" s="232"/>
      <c r="AH50" s="216"/>
    </row>
    <row r="51" spans="1:35" ht="21" customHeight="1" x14ac:dyDescent="0.3">
      <c r="A51" s="59"/>
      <c r="B51" s="6" t="s">
        <v>23</v>
      </c>
      <c r="C51" s="46"/>
      <c r="D51" s="14"/>
      <c r="E51" s="14"/>
      <c r="F51" s="47"/>
      <c r="G51" s="14"/>
      <c r="H51" s="140"/>
      <c r="I51" s="91"/>
      <c r="J51" s="84"/>
      <c r="K51" s="47"/>
      <c r="L51" s="48"/>
      <c r="M51" s="91"/>
      <c r="N51" s="84"/>
      <c r="O51" s="48"/>
      <c r="P51" s="91"/>
      <c r="Q51" s="84"/>
      <c r="R51" s="48"/>
      <c r="S51" s="91"/>
      <c r="T51" s="190">
        <f>T52+T53</f>
        <v>9570</v>
      </c>
      <c r="U51" s="190">
        <f t="shared" ref="U51:V51" si="61">U52+U53</f>
        <v>-9570</v>
      </c>
      <c r="V51" s="204">
        <f t="shared" si="61"/>
        <v>0</v>
      </c>
      <c r="W51" s="178">
        <f>W52+W53</f>
        <v>446909</v>
      </c>
      <c r="X51" s="178">
        <f t="shared" ref="X51:Y51" si="62">X52+X53</f>
        <v>-446909</v>
      </c>
      <c r="Y51" s="184">
        <f t="shared" si="62"/>
        <v>0</v>
      </c>
      <c r="Z51" s="178">
        <f>Z52+Z53</f>
        <v>306664</v>
      </c>
      <c r="AA51" s="178">
        <f t="shared" ref="AA51:AB51" si="63">AA52+AA53</f>
        <v>-306664</v>
      </c>
      <c r="AB51" s="184">
        <f t="shared" si="63"/>
        <v>0</v>
      </c>
      <c r="AC51" s="178"/>
      <c r="AD51" s="112"/>
      <c r="AE51" s="184"/>
      <c r="AF51" s="178"/>
      <c r="AG51" s="2"/>
      <c r="AH51" s="184"/>
    </row>
    <row r="52" spans="1:35" ht="21" customHeight="1" x14ac:dyDescent="0.3">
      <c r="A52" s="59"/>
      <c r="B52" s="6" t="s">
        <v>35</v>
      </c>
      <c r="C52" s="46"/>
      <c r="D52" s="14"/>
      <c r="E52" s="14"/>
      <c r="F52" s="47"/>
      <c r="G52" s="14"/>
      <c r="H52" s="140"/>
      <c r="I52" s="91"/>
      <c r="J52" s="84"/>
      <c r="K52" s="47"/>
      <c r="L52" s="48"/>
      <c r="M52" s="91"/>
      <c r="N52" s="84"/>
      <c r="O52" s="48"/>
      <c r="P52" s="91"/>
      <c r="Q52" s="84"/>
      <c r="R52" s="48"/>
      <c r="S52" s="91"/>
      <c r="T52" s="190">
        <v>9570</v>
      </c>
      <c r="U52" s="50">
        <v>-9570</v>
      </c>
      <c r="V52" s="204">
        <f>T52+U52</f>
        <v>0</v>
      </c>
      <c r="W52" s="178"/>
      <c r="X52" s="178"/>
      <c r="Y52" s="184"/>
      <c r="Z52" s="178"/>
      <c r="AA52" s="178"/>
      <c r="AB52" s="184"/>
      <c r="AC52" s="178"/>
      <c r="AD52" s="112"/>
      <c r="AE52" s="184"/>
      <c r="AF52" s="178"/>
      <c r="AG52" s="2"/>
      <c r="AH52" s="184"/>
    </row>
    <row r="53" spans="1:35" ht="21" customHeight="1" x14ac:dyDescent="0.3">
      <c r="A53" s="59"/>
      <c r="B53" s="6" t="s">
        <v>36</v>
      </c>
      <c r="C53" s="46"/>
      <c r="D53" s="14"/>
      <c r="E53" s="14"/>
      <c r="F53" s="47"/>
      <c r="G53" s="14"/>
      <c r="H53" s="140"/>
      <c r="I53" s="91"/>
      <c r="J53" s="84"/>
      <c r="K53" s="47"/>
      <c r="L53" s="48"/>
      <c r="M53" s="91"/>
      <c r="N53" s="84"/>
      <c r="O53" s="48"/>
      <c r="P53" s="91"/>
      <c r="Q53" s="84"/>
      <c r="R53" s="48"/>
      <c r="S53" s="91"/>
      <c r="T53" s="190"/>
      <c r="U53" s="50"/>
      <c r="V53" s="204"/>
      <c r="W53" s="178">
        <v>446909</v>
      </c>
      <c r="X53" s="178">
        <v>-446909</v>
      </c>
      <c r="Y53" s="184">
        <f>W53+X53</f>
        <v>0</v>
      </c>
      <c r="Z53" s="178">
        <v>306664</v>
      </c>
      <c r="AA53" s="178">
        <v>-306664</v>
      </c>
      <c r="AB53" s="184">
        <f>Z53+AA53</f>
        <v>0</v>
      </c>
      <c r="AC53" s="178"/>
      <c r="AD53" s="112"/>
      <c r="AE53" s="184"/>
      <c r="AF53" s="178"/>
      <c r="AG53" s="2"/>
      <c r="AH53" s="184"/>
    </row>
    <row r="54" spans="1:35" ht="77.25" customHeight="1" x14ac:dyDescent="0.3">
      <c r="A54" s="59">
        <v>23</v>
      </c>
      <c r="B54" s="43" t="s">
        <v>32</v>
      </c>
      <c r="C54" s="8" t="s">
        <v>17</v>
      </c>
      <c r="D54" s="17" t="s">
        <v>67</v>
      </c>
      <c r="E54" s="18">
        <v>11.63</v>
      </c>
      <c r="F54" s="18">
        <v>77.25</v>
      </c>
      <c r="G54" s="18">
        <v>7.7249999999999999E-2</v>
      </c>
      <c r="H54" s="141"/>
      <c r="I54" s="109">
        <f>763342.6+12000</f>
        <v>775342.6</v>
      </c>
      <c r="J54" s="44">
        <v>11.63</v>
      </c>
      <c r="K54" s="18">
        <v>77.25</v>
      </c>
      <c r="L54" s="31">
        <f>Q54+T54</f>
        <v>12000</v>
      </c>
      <c r="M54" s="179"/>
      <c r="N54" s="174"/>
      <c r="O54" s="71"/>
      <c r="P54" s="179"/>
      <c r="Q54" s="95">
        <f>Q55+Q56</f>
        <v>0</v>
      </c>
      <c r="R54" s="69"/>
      <c r="S54" s="93">
        <f t="shared" ref="S54" si="64">Q54+R54</f>
        <v>0</v>
      </c>
      <c r="T54" s="95">
        <f>T55+T56</f>
        <v>12000</v>
      </c>
      <c r="U54" s="69">
        <f t="shared" ref="U54:V54" si="65">U55+U56</f>
        <v>0</v>
      </c>
      <c r="V54" s="93">
        <f t="shared" si="65"/>
        <v>12000</v>
      </c>
      <c r="W54" s="95">
        <f>W55+W56</f>
        <v>116790.8</v>
      </c>
      <c r="X54" s="95">
        <f t="shared" ref="X54:Y54" si="66">X55+X56</f>
        <v>0</v>
      </c>
      <c r="Y54" s="93">
        <f t="shared" si="66"/>
        <v>116790.8</v>
      </c>
      <c r="Z54" s="95">
        <f>Z55+Z56</f>
        <v>646551.80000000005</v>
      </c>
      <c r="AA54" s="95">
        <f t="shared" ref="AA54:AB54" si="67">AA55+AA56</f>
        <v>0</v>
      </c>
      <c r="AB54" s="93">
        <f t="shared" si="67"/>
        <v>646551.80000000005</v>
      </c>
      <c r="AC54" s="178"/>
      <c r="AD54" s="112"/>
      <c r="AE54" s="184"/>
      <c r="AF54" s="197"/>
      <c r="AG54" s="231"/>
      <c r="AH54" s="96"/>
      <c r="AI54" s="40">
        <f>I54-M54-P54-S54-V54-Y54-AB54-AE54-AH54</f>
        <v>-1.1641532182693481E-10</v>
      </c>
    </row>
    <row r="55" spans="1:35" ht="21" customHeight="1" x14ac:dyDescent="0.3">
      <c r="A55" s="61"/>
      <c r="B55" s="26" t="s">
        <v>22</v>
      </c>
      <c r="C55" s="27"/>
      <c r="D55" s="29"/>
      <c r="E55" s="30"/>
      <c r="F55" s="30"/>
      <c r="G55" s="30"/>
      <c r="H55" s="142"/>
      <c r="I55" s="110"/>
      <c r="J55" s="62"/>
      <c r="K55" s="30"/>
      <c r="L55" s="30"/>
      <c r="M55" s="181"/>
      <c r="N55" s="175"/>
      <c r="O55" s="36"/>
      <c r="P55" s="181"/>
      <c r="Q55" s="175"/>
      <c r="R55" s="36"/>
      <c r="S55" s="181">
        <f>Q55+R55</f>
        <v>0</v>
      </c>
      <c r="T55" s="189"/>
      <c r="U55" s="37"/>
      <c r="V55" s="203"/>
      <c r="W55" s="189">
        <f>W58</f>
        <v>116790.8</v>
      </c>
      <c r="X55" s="189">
        <f t="shared" ref="X55:Y55" si="68">X58</f>
        <v>0</v>
      </c>
      <c r="Y55" s="203">
        <f t="shared" si="68"/>
        <v>116790.8</v>
      </c>
      <c r="Z55" s="189">
        <f>Z58</f>
        <v>646451.80000000005</v>
      </c>
      <c r="AA55" s="189">
        <f t="shared" ref="AA55:AB55" si="69">AA58</f>
        <v>0</v>
      </c>
      <c r="AB55" s="203">
        <f t="shared" si="69"/>
        <v>646451.80000000005</v>
      </c>
      <c r="AC55" s="198"/>
      <c r="AD55" s="113"/>
      <c r="AE55" s="216"/>
      <c r="AF55" s="198"/>
      <c r="AG55" s="232"/>
      <c r="AH55" s="235"/>
    </row>
    <row r="56" spans="1:35" ht="19.5" customHeight="1" x14ac:dyDescent="0.3">
      <c r="A56" s="61"/>
      <c r="B56" s="6" t="s">
        <v>23</v>
      </c>
      <c r="C56" s="8"/>
      <c r="D56" s="17"/>
      <c r="E56" s="18"/>
      <c r="F56" s="18"/>
      <c r="G56" s="18"/>
      <c r="H56" s="141"/>
      <c r="I56" s="109"/>
      <c r="J56" s="44"/>
      <c r="K56" s="18"/>
      <c r="L56" s="18"/>
      <c r="M56" s="179"/>
      <c r="N56" s="174"/>
      <c r="O56" s="71"/>
      <c r="P56" s="179"/>
      <c r="Q56" s="95">
        <f>Q62+Q63</f>
        <v>0</v>
      </c>
      <c r="R56" s="69"/>
      <c r="S56" s="93">
        <f>Q56+R56</f>
        <v>0</v>
      </c>
      <c r="T56" s="95">
        <v>12000</v>
      </c>
      <c r="U56" s="69"/>
      <c r="V56" s="93">
        <f>T56+U56</f>
        <v>12000</v>
      </c>
      <c r="W56" s="178"/>
      <c r="X56" s="112"/>
      <c r="Y56" s="184"/>
      <c r="Z56" s="178">
        <f>Z57</f>
        <v>100</v>
      </c>
      <c r="AA56" s="178">
        <f t="shared" ref="AA56:AB56" si="70">AA57</f>
        <v>0</v>
      </c>
      <c r="AB56" s="184">
        <f t="shared" si="70"/>
        <v>100</v>
      </c>
      <c r="AC56" s="178"/>
      <c r="AD56" s="112"/>
      <c r="AE56" s="184"/>
      <c r="AF56" s="178"/>
      <c r="AG56" s="2"/>
      <c r="AH56" s="96"/>
    </row>
    <row r="57" spans="1:35" ht="19.5" customHeight="1" x14ac:dyDescent="0.3">
      <c r="A57" s="61"/>
      <c r="B57" s="6" t="s">
        <v>35</v>
      </c>
      <c r="C57" s="8"/>
      <c r="D57" s="17"/>
      <c r="E57" s="18"/>
      <c r="F57" s="44"/>
      <c r="G57" s="18"/>
      <c r="H57" s="141"/>
      <c r="I57" s="109"/>
      <c r="J57" s="44"/>
      <c r="K57" s="18"/>
      <c r="L57" s="18"/>
      <c r="M57" s="179"/>
      <c r="N57" s="174"/>
      <c r="O57" s="71"/>
      <c r="P57" s="179"/>
      <c r="Q57" s="95"/>
      <c r="R57" s="69"/>
      <c r="S57" s="93"/>
      <c r="T57" s="95">
        <v>12000</v>
      </c>
      <c r="U57" s="69"/>
      <c r="V57" s="93">
        <f>T57+U57</f>
        <v>12000</v>
      </c>
      <c r="W57" s="178"/>
      <c r="X57" s="112"/>
      <c r="Y57" s="184"/>
      <c r="Z57" s="178">
        <v>100</v>
      </c>
      <c r="AA57" s="112"/>
      <c r="AB57" s="184">
        <f>Z57+AA57</f>
        <v>100</v>
      </c>
      <c r="AC57" s="178"/>
      <c r="AD57" s="112"/>
      <c r="AE57" s="184"/>
      <c r="AF57" s="178"/>
      <c r="AG57" s="2"/>
      <c r="AH57" s="96"/>
    </row>
    <row r="58" spans="1:35" ht="19.5" customHeight="1" x14ac:dyDescent="0.3">
      <c r="A58" s="61"/>
      <c r="B58" s="6" t="s">
        <v>36</v>
      </c>
      <c r="C58" s="8"/>
      <c r="D58" s="17"/>
      <c r="E58" s="18"/>
      <c r="F58" s="44"/>
      <c r="G58" s="18"/>
      <c r="H58" s="141"/>
      <c r="I58" s="109"/>
      <c r="J58" s="44"/>
      <c r="K58" s="18"/>
      <c r="L58" s="18"/>
      <c r="M58" s="179"/>
      <c r="N58" s="174"/>
      <c r="O58" s="71"/>
      <c r="P58" s="179"/>
      <c r="Q58" s="95"/>
      <c r="R58" s="69"/>
      <c r="S58" s="93"/>
      <c r="T58" s="95"/>
      <c r="U58" s="69"/>
      <c r="V58" s="93"/>
      <c r="W58" s="178">
        <v>116790.8</v>
      </c>
      <c r="X58" s="112"/>
      <c r="Y58" s="184">
        <f>W58+X58</f>
        <v>116790.8</v>
      </c>
      <c r="Z58" s="178">
        <v>646451.80000000005</v>
      </c>
      <c r="AA58" s="112"/>
      <c r="AB58" s="184">
        <f>Z58+AA58</f>
        <v>646451.80000000005</v>
      </c>
      <c r="AC58" s="178"/>
      <c r="AD58" s="112"/>
      <c r="AE58" s="184"/>
      <c r="AF58" s="178"/>
      <c r="AG58" s="2"/>
      <c r="AH58" s="96"/>
    </row>
    <row r="59" spans="1:35" ht="110.25" customHeight="1" x14ac:dyDescent="0.3">
      <c r="A59" s="59">
        <v>31</v>
      </c>
      <c r="B59" s="6" t="s">
        <v>97</v>
      </c>
      <c r="C59" s="13" t="s">
        <v>16</v>
      </c>
      <c r="D59" s="7">
        <v>2022</v>
      </c>
      <c r="E59" s="7">
        <v>26.16</v>
      </c>
      <c r="F59" s="12"/>
      <c r="G59" s="7"/>
      <c r="H59" s="137"/>
      <c r="I59" s="304">
        <v>758640</v>
      </c>
      <c r="J59" s="12"/>
      <c r="K59" s="18"/>
      <c r="L59" s="7"/>
      <c r="M59" s="179"/>
      <c r="N59" s="174"/>
      <c r="O59" s="71"/>
      <c r="P59" s="179"/>
      <c r="Q59" s="95"/>
      <c r="R59" s="48">
        <f>R61+R60</f>
        <v>489580.79999999999</v>
      </c>
      <c r="S59" s="91">
        <f t="shared" ref="S59:S63" si="71">Q59+R59</f>
        <v>489580.79999999999</v>
      </c>
      <c r="T59" s="95">
        <f>T60+T61</f>
        <v>0</v>
      </c>
      <c r="U59" s="95">
        <f t="shared" ref="U59:V59" si="72">U60+U61</f>
        <v>269059.20000000001</v>
      </c>
      <c r="V59" s="310">
        <f t="shared" si="72"/>
        <v>269059.20000000001</v>
      </c>
      <c r="W59" s="197">
        <f>W61</f>
        <v>0</v>
      </c>
      <c r="X59" s="111"/>
      <c r="Y59" s="215"/>
      <c r="Z59" s="197">
        <f t="shared" ref="Z59:AF59" si="73">Z61</f>
        <v>0</v>
      </c>
      <c r="AA59" s="111"/>
      <c r="AB59" s="215"/>
      <c r="AC59" s="197">
        <f t="shared" si="73"/>
        <v>0</v>
      </c>
      <c r="AD59" s="111"/>
      <c r="AE59" s="215"/>
      <c r="AF59" s="197">
        <f t="shared" si="73"/>
        <v>0</v>
      </c>
      <c r="AG59" s="111"/>
      <c r="AH59" s="96"/>
      <c r="AI59" s="305">
        <f>I59-S59-V59-Y59-AB59</f>
        <v>0</v>
      </c>
    </row>
    <row r="60" spans="1:35" ht="21" customHeight="1" x14ac:dyDescent="0.3">
      <c r="A60" s="59"/>
      <c r="B60" s="26" t="s">
        <v>22</v>
      </c>
      <c r="C60" s="33"/>
      <c r="D60" s="28"/>
      <c r="E60" s="28"/>
      <c r="F60" s="34"/>
      <c r="G60" s="28"/>
      <c r="H60" s="138"/>
      <c r="I60" s="165"/>
      <c r="J60" s="34"/>
      <c r="K60" s="62"/>
      <c r="L60" s="28"/>
      <c r="M60" s="181"/>
      <c r="N60" s="175"/>
      <c r="O60" s="36"/>
      <c r="P60" s="181"/>
      <c r="Q60" s="85"/>
      <c r="R60" s="35">
        <v>478641.6</v>
      </c>
      <c r="S60" s="92">
        <f>Q60+R60</f>
        <v>478641.6</v>
      </c>
      <c r="T60" s="85"/>
      <c r="U60" s="35">
        <f>U63</f>
        <v>269059.20000000001</v>
      </c>
      <c r="V60" s="92">
        <f>V63</f>
        <v>269059.20000000001</v>
      </c>
      <c r="W60" s="189"/>
      <c r="X60" s="37"/>
      <c r="Y60" s="203"/>
      <c r="Z60" s="189"/>
      <c r="AA60" s="37"/>
      <c r="AB60" s="203"/>
      <c r="AC60" s="189"/>
      <c r="AD60" s="37"/>
      <c r="AE60" s="203"/>
      <c r="AF60" s="189"/>
      <c r="AG60" s="189"/>
      <c r="AH60" s="203"/>
    </row>
    <row r="61" spans="1:35" ht="21.75" customHeight="1" x14ac:dyDescent="0.3">
      <c r="A61" s="59"/>
      <c r="B61" s="6" t="s">
        <v>23</v>
      </c>
      <c r="C61" s="13"/>
      <c r="D61" s="7"/>
      <c r="E61" s="7"/>
      <c r="F61" s="12"/>
      <c r="G61" s="7"/>
      <c r="H61" s="137"/>
      <c r="I61" s="105"/>
      <c r="J61" s="12"/>
      <c r="K61" s="44"/>
      <c r="L61" s="7"/>
      <c r="M61" s="179"/>
      <c r="N61" s="174"/>
      <c r="O61" s="71"/>
      <c r="P61" s="179"/>
      <c r="Q61" s="95"/>
      <c r="R61" s="69">
        <f>R62</f>
        <v>10939.2</v>
      </c>
      <c r="S61" s="91">
        <f>S62</f>
        <v>10939.2</v>
      </c>
      <c r="T61" s="95"/>
      <c r="U61" s="69"/>
      <c r="V61" s="93"/>
      <c r="W61" s="178"/>
      <c r="X61" s="112"/>
      <c r="Y61" s="184"/>
      <c r="Z61" s="178"/>
      <c r="AA61" s="112"/>
      <c r="AB61" s="184"/>
      <c r="AC61" s="178"/>
      <c r="AD61" s="112"/>
      <c r="AE61" s="184"/>
      <c r="AF61" s="178"/>
      <c r="AG61" s="2"/>
      <c r="AH61" s="96"/>
    </row>
    <row r="62" spans="1:35" ht="19.5" customHeight="1" x14ac:dyDescent="0.3">
      <c r="A62" s="59"/>
      <c r="B62" s="6" t="s">
        <v>35</v>
      </c>
      <c r="C62" s="13"/>
      <c r="D62" s="7"/>
      <c r="E62" s="7"/>
      <c r="F62" s="12"/>
      <c r="G62" s="7"/>
      <c r="H62" s="137"/>
      <c r="I62" s="105"/>
      <c r="J62" s="12"/>
      <c r="K62" s="44"/>
      <c r="L62" s="7"/>
      <c r="M62" s="179"/>
      <c r="N62" s="174"/>
      <c r="O62" s="71"/>
      <c r="P62" s="179"/>
      <c r="Q62" s="95"/>
      <c r="R62" s="69">
        <v>10939.2</v>
      </c>
      <c r="S62" s="93">
        <f t="shared" si="71"/>
        <v>10939.2</v>
      </c>
      <c r="T62" s="95"/>
      <c r="U62" s="69"/>
      <c r="V62" s="93"/>
      <c r="W62" s="197"/>
      <c r="X62" s="111"/>
      <c r="Y62" s="215"/>
      <c r="Z62" s="178"/>
      <c r="AA62" s="112"/>
      <c r="AB62" s="184"/>
      <c r="AC62" s="178"/>
      <c r="AD62" s="112"/>
      <c r="AE62" s="184"/>
      <c r="AF62" s="178"/>
      <c r="AG62" s="2"/>
      <c r="AH62" s="96"/>
    </row>
    <row r="63" spans="1:35" ht="18.75" customHeight="1" x14ac:dyDescent="0.3">
      <c r="A63" s="59"/>
      <c r="B63" s="6" t="s">
        <v>36</v>
      </c>
      <c r="C63" s="13"/>
      <c r="D63" s="7"/>
      <c r="E63" s="7"/>
      <c r="F63" s="12"/>
      <c r="G63" s="7"/>
      <c r="H63" s="137"/>
      <c r="I63" s="105"/>
      <c r="J63" s="12"/>
      <c r="K63" s="44"/>
      <c r="L63" s="7"/>
      <c r="M63" s="179"/>
      <c r="N63" s="174"/>
      <c r="O63" s="71"/>
      <c r="P63" s="179"/>
      <c r="Q63" s="95"/>
      <c r="R63" s="69">
        <v>478641.6</v>
      </c>
      <c r="S63" s="93">
        <f t="shared" si="71"/>
        <v>478641.6</v>
      </c>
      <c r="T63" s="95"/>
      <c r="U63" s="69">
        <v>269059.20000000001</v>
      </c>
      <c r="V63" s="93">
        <f>T63+U63</f>
        <v>269059.20000000001</v>
      </c>
      <c r="W63" s="190"/>
      <c r="X63" s="50"/>
      <c r="Y63" s="204"/>
      <c r="Z63" s="178"/>
      <c r="AA63" s="112"/>
      <c r="AB63" s="184"/>
      <c r="AC63" s="178"/>
      <c r="AD63" s="112"/>
      <c r="AE63" s="184"/>
      <c r="AF63" s="178"/>
      <c r="AG63" s="2"/>
      <c r="AH63" s="96"/>
    </row>
    <row r="64" spans="1:35" ht="105" customHeight="1" x14ac:dyDescent="0.3">
      <c r="A64" s="59"/>
      <c r="B64" s="124" t="s">
        <v>98</v>
      </c>
      <c r="C64" s="13" t="s">
        <v>16</v>
      </c>
      <c r="D64" s="7">
        <v>2025</v>
      </c>
      <c r="E64" s="173">
        <v>16</v>
      </c>
      <c r="F64" s="12"/>
      <c r="G64" s="7"/>
      <c r="H64" s="137"/>
      <c r="I64" s="93">
        <v>464000</v>
      </c>
      <c r="J64" s="12"/>
      <c r="K64" s="44"/>
      <c r="L64" s="7"/>
      <c r="M64" s="179"/>
      <c r="N64" s="174"/>
      <c r="O64" s="71"/>
      <c r="P64" s="179"/>
      <c r="Q64" s="95">
        <f>Q65+Q66</f>
        <v>0</v>
      </c>
      <c r="R64" s="69">
        <f>R65+R66</f>
        <v>0</v>
      </c>
      <c r="S64" s="93">
        <f>S65+S66</f>
        <v>0</v>
      </c>
      <c r="T64" s="95"/>
      <c r="U64" s="69"/>
      <c r="V64" s="93"/>
      <c r="W64" s="190">
        <f>W65+W66</f>
        <v>0</v>
      </c>
      <c r="X64" s="190">
        <f t="shared" ref="X64:Y64" si="74">X65+X66</f>
        <v>10716.9</v>
      </c>
      <c r="Y64" s="312">
        <f t="shared" si="74"/>
        <v>10716.9</v>
      </c>
      <c r="Z64" s="197">
        <f>Z65+Z66</f>
        <v>0</v>
      </c>
      <c r="AA64" s="197">
        <f t="shared" ref="AA64:AB64" si="75">AA65+AA66</f>
        <v>250000</v>
      </c>
      <c r="AB64" s="313">
        <f t="shared" si="75"/>
        <v>250000</v>
      </c>
      <c r="AC64" s="197">
        <f>AC65+AC66</f>
        <v>0</v>
      </c>
      <c r="AD64" s="197">
        <f t="shared" ref="AD64:AE64" si="76">AD65+AD66</f>
        <v>203283.1</v>
      </c>
      <c r="AE64" s="313">
        <f t="shared" si="76"/>
        <v>203283.1</v>
      </c>
      <c r="AF64" s="178"/>
      <c r="AG64" s="2"/>
      <c r="AH64" s="96"/>
      <c r="AI64" s="305">
        <f>I64-S64-Y64-AB64-AE64</f>
        <v>0</v>
      </c>
    </row>
    <row r="65" spans="1:35" ht="18.75" customHeight="1" x14ac:dyDescent="0.3">
      <c r="A65" s="59"/>
      <c r="B65" s="26" t="s">
        <v>22</v>
      </c>
      <c r="C65" s="33"/>
      <c r="D65" s="28"/>
      <c r="E65" s="28"/>
      <c r="F65" s="34"/>
      <c r="G65" s="28"/>
      <c r="H65" s="138"/>
      <c r="I65" s="165"/>
      <c r="J65" s="34"/>
      <c r="K65" s="62"/>
      <c r="L65" s="28"/>
      <c r="M65" s="181"/>
      <c r="N65" s="175"/>
      <c r="O65" s="36"/>
      <c r="P65" s="181"/>
      <c r="Q65" s="85"/>
      <c r="R65" s="35"/>
      <c r="S65" s="92"/>
      <c r="T65" s="85"/>
      <c r="U65" s="35"/>
      <c r="V65" s="92"/>
      <c r="W65" s="189"/>
      <c r="X65" s="37"/>
      <c r="Y65" s="203"/>
      <c r="Z65" s="198">
        <f>Z68</f>
        <v>0</v>
      </c>
      <c r="AA65" s="198">
        <f t="shared" ref="AA65:AB65" si="77">AA68</f>
        <v>250000</v>
      </c>
      <c r="AB65" s="314">
        <f t="shared" si="77"/>
        <v>250000</v>
      </c>
      <c r="AC65" s="198">
        <f>AC68</f>
        <v>0</v>
      </c>
      <c r="AD65" s="198">
        <f t="shared" ref="AD65:AE65" si="78">AD68</f>
        <v>203283.1</v>
      </c>
      <c r="AE65" s="314">
        <f t="shared" si="78"/>
        <v>203283.1</v>
      </c>
      <c r="AF65" s="198"/>
      <c r="AG65" s="198"/>
      <c r="AH65" s="216"/>
    </row>
    <row r="66" spans="1:35" ht="18.75" customHeight="1" x14ac:dyDescent="0.3">
      <c r="A66" s="59"/>
      <c r="B66" s="6" t="s">
        <v>23</v>
      </c>
      <c r="C66" s="13"/>
      <c r="D66" s="7"/>
      <c r="E66" s="7"/>
      <c r="F66" s="12"/>
      <c r="G66" s="7"/>
      <c r="H66" s="137"/>
      <c r="I66" s="105"/>
      <c r="J66" s="12"/>
      <c r="K66" s="44"/>
      <c r="L66" s="7"/>
      <c r="M66" s="179"/>
      <c r="N66" s="174"/>
      <c r="O66" s="71"/>
      <c r="P66" s="179"/>
      <c r="Q66" s="95">
        <f>Q67+Q68</f>
        <v>0</v>
      </c>
      <c r="R66" s="69">
        <f t="shared" ref="R66:S66" si="79">R67+R68</f>
        <v>0</v>
      </c>
      <c r="S66" s="91">
        <f t="shared" si="79"/>
        <v>0</v>
      </c>
      <c r="T66" s="95"/>
      <c r="U66" s="69"/>
      <c r="V66" s="93"/>
      <c r="W66" s="190">
        <f>W67</f>
        <v>0</v>
      </c>
      <c r="X66" s="190">
        <f t="shared" ref="X66:Y66" si="80">X67</f>
        <v>10716.9</v>
      </c>
      <c r="Y66" s="312">
        <f t="shared" si="80"/>
        <v>10716.9</v>
      </c>
      <c r="Z66" s="178"/>
      <c r="AA66" s="112"/>
      <c r="AB66" s="184"/>
      <c r="AC66" s="178"/>
      <c r="AD66" s="112"/>
      <c r="AE66" s="184"/>
      <c r="AF66" s="178"/>
      <c r="AG66" s="2"/>
      <c r="AH66" s="96"/>
    </row>
    <row r="67" spans="1:35" ht="18.75" customHeight="1" x14ac:dyDescent="0.3">
      <c r="A67" s="59"/>
      <c r="B67" s="6" t="s">
        <v>35</v>
      </c>
      <c r="C67" s="13"/>
      <c r="D67" s="7"/>
      <c r="E67" s="7"/>
      <c r="F67" s="12"/>
      <c r="G67" s="7"/>
      <c r="H67" s="137"/>
      <c r="I67" s="105"/>
      <c r="J67" s="12"/>
      <c r="K67" s="44"/>
      <c r="L67" s="7"/>
      <c r="M67" s="179"/>
      <c r="N67" s="174"/>
      <c r="O67" s="71"/>
      <c r="P67" s="179"/>
      <c r="Q67" s="95"/>
      <c r="R67" s="69"/>
      <c r="S67" s="93">
        <f>Q67+R67</f>
        <v>0</v>
      </c>
      <c r="T67" s="95"/>
      <c r="U67" s="69"/>
      <c r="V67" s="93"/>
      <c r="W67" s="190"/>
      <c r="X67" s="299">
        <v>10716.9</v>
      </c>
      <c r="Y67" s="204">
        <f>W67+X67</f>
        <v>10716.9</v>
      </c>
      <c r="Z67" s="178"/>
      <c r="AA67" s="112"/>
      <c r="AB67" s="184"/>
      <c r="AC67" s="178"/>
      <c r="AD67" s="112"/>
      <c r="AE67" s="184"/>
      <c r="AF67" s="178"/>
      <c r="AG67" s="2"/>
      <c r="AH67" s="96"/>
    </row>
    <row r="68" spans="1:35" ht="18.75" customHeight="1" x14ac:dyDescent="0.3">
      <c r="A68" s="59"/>
      <c r="B68" s="6" t="s">
        <v>36</v>
      </c>
      <c r="C68" s="13"/>
      <c r="D68" s="7"/>
      <c r="E68" s="7"/>
      <c r="F68" s="12"/>
      <c r="G68" s="7"/>
      <c r="H68" s="137"/>
      <c r="I68" s="105"/>
      <c r="J68" s="12"/>
      <c r="K68" s="44"/>
      <c r="L68" s="7"/>
      <c r="M68" s="179"/>
      <c r="N68" s="174"/>
      <c r="O68" s="71"/>
      <c r="P68" s="179"/>
      <c r="Q68" s="95"/>
      <c r="R68" s="69"/>
      <c r="S68" s="93"/>
      <c r="T68" s="95"/>
      <c r="U68" s="69"/>
      <c r="V68" s="93"/>
      <c r="W68" s="190"/>
      <c r="X68" s="50"/>
      <c r="Y68" s="204"/>
      <c r="Z68" s="178"/>
      <c r="AA68" s="112">
        <v>250000</v>
      </c>
      <c r="AB68" s="184">
        <f>Z68+AA68</f>
        <v>250000</v>
      </c>
      <c r="AC68" s="178"/>
      <c r="AD68" s="112">
        <v>203283.1</v>
      </c>
      <c r="AE68" s="184">
        <f>AC68+AD68</f>
        <v>203283.1</v>
      </c>
      <c r="AF68" s="178"/>
      <c r="AG68" s="2"/>
      <c r="AH68" s="96"/>
    </row>
    <row r="69" spans="1:35" ht="108.75" customHeight="1" x14ac:dyDescent="0.3">
      <c r="A69" s="59"/>
      <c r="B69" s="124" t="s">
        <v>99</v>
      </c>
      <c r="C69" s="13" t="s">
        <v>16</v>
      </c>
      <c r="D69" s="7">
        <v>2025</v>
      </c>
      <c r="E69" s="7">
        <v>20.2</v>
      </c>
      <c r="F69" s="12"/>
      <c r="G69" s="7"/>
      <c r="H69" s="137"/>
      <c r="I69" s="93">
        <v>658120</v>
      </c>
      <c r="J69" s="12"/>
      <c r="K69" s="44"/>
      <c r="L69" s="7"/>
      <c r="M69" s="179"/>
      <c r="N69" s="174"/>
      <c r="O69" s="71"/>
      <c r="P69" s="179"/>
      <c r="Q69" s="95"/>
      <c r="R69" s="69"/>
      <c r="S69" s="93"/>
      <c r="T69" s="95"/>
      <c r="U69" s="69"/>
      <c r="V69" s="93"/>
      <c r="W69" s="252">
        <f>W70+W71</f>
        <v>0</v>
      </c>
      <c r="X69" s="252">
        <f t="shared" ref="X69:Y69" si="81">X70+X71</f>
        <v>18010.5</v>
      </c>
      <c r="Y69" s="256">
        <f t="shared" si="81"/>
        <v>18010.5</v>
      </c>
      <c r="Z69" s="197">
        <f>Z70+Z71</f>
        <v>0</v>
      </c>
      <c r="AA69" s="197">
        <f t="shared" ref="AA69:AB69" si="82">AA70+AA71</f>
        <v>320000</v>
      </c>
      <c r="AB69" s="313">
        <f t="shared" si="82"/>
        <v>320000</v>
      </c>
      <c r="AC69" s="197">
        <f>AC70+AC71</f>
        <v>0</v>
      </c>
      <c r="AD69" s="197">
        <f t="shared" ref="AD69" si="83">AD70+AD71</f>
        <v>320109.5</v>
      </c>
      <c r="AE69" s="313">
        <f t="shared" ref="AE69" si="84">AE70+AE71</f>
        <v>320109.5</v>
      </c>
      <c r="AF69" s="178"/>
      <c r="AG69" s="2"/>
      <c r="AH69" s="96"/>
      <c r="AI69" s="305">
        <f>I69-Y69-AB69-AE69</f>
        <v>0</v>
      </c>
    </row>
    <row r="70" spans="1:35" ht="18.75" customHeight="1" x14ac:dyDescent="0.3">
      <c r="A70" s="59"/>
      <c r="B70" s="26" t="s">
        <v>22</v>
      </c>
      <c r="C70" s="33"/>
      <c r="D70" s="28"/>
      <c r="E70" s="28"/>
      <c r="F70" s="34"/>
      <c r="G70" s="28"/>
      <c r="H70" s="138"/>
      <c r="I70" s="165"/>
      <c r="J70" s="34"/>
      <c r="K70" s="62"/>
      <c r="L70" s="28"/>
      <c r="M70" s="181"/>
      <c r="N70" s="175"/>
      <c r="O70" s="36"/>
      <c r="P70" s="181"/>
      <c r="Q70" s="85"/>
      <c r="R70" s="35"/>
      <c r="S70" s="92"/>
      <c r="T70" s="85"/>
      <c r="U70" s="35"/>
      <c r="V70" s="92"/>
      <c r="W70" s="253"/>
      <c r="X70" s="254"/>
      <c r="Y70" s="255"/>
      <c r="Z70" s="198">
        <f>Z73</f>
        <v>0</v>
      </c>
      <c r="AA70" s="198">
        <f t="shared" ref="AA70:AE70" si="85">AA73</f>
        <v>320000</v>
      </c>
      <c r="AB70" s="314">
        <f t="shared" si="85"/>
        <v>320000</v>
      </c>
      <c r="AC70" s="198">
        <f>AC73</f>
        <v>0</v>
      </c>
      <c r="AD70" s="198">
        <f t="shared" si="85"/>
        <v>320109.5</v>
      </c>
      <c r="AE70" s="314">
        <f t="shared" si="85"/>
        <v>320109.5</v>
      </c>
      <c r="AF70" s="198"/>
      <c r="AG70" s="198"/>
      <c r="AH70" s="216"/>
    </row>
    <row r="71" spans="1:35" ht="18.75" customHeight="1" x14ac:dyDescent="0.3">
      <c r="A71" s="59"/>
      <c r="B71" s="6" t="s">
        <v>23</v>
      </c>
      <c r="C71" s="13"/>
      <c r="D71" s="7"/>
      <c r="E71" s="7"/>
      <c r="F71" s="12"/>
      <c r="G71" s="7"/>
      <c r="H71" s="137"/>
      <c r="I71" s="105"/>
      <c r="J71" s="12"/>
      <c r="K71" s="44"/>
      <c r="L71" s="7"/>
      <c r="M71" s="179"/>
      <c r="N71" s="174"/>
      <c r="O71" s="71"/>
      <c r="P71" s="179"/>
      <c r="Q71" s="95"/>
      <c r="R71" s="69"/>
      <c r="S71" s="93"/>
      <c r="T71" s="95"/>
      <c r="U71" s="69"/>
      <c r="V71" s="93"/>
      <c r="W71" s="252">
        <f>W72+W73</f>
        <v>0</v>
      </c>
      <c r="X71" s="252">
        <f t="shared" ref="X71:Y71" si="86">X72+X73</f>
        <v>18010.5</v>
      </c>
      <c r="Y71" s="256">
        <f t="shared" si="86"/>
        <v>18010.5</v>
      </c>
      <c r="Z71" s="178"/>
      <c r="AA71" s="112"/>
      <c r="AB71" s="184"/>
      <c r="AC71" s="178"/>
      <c r="AD71" s="112"/>
      <c r="AE71" s="184"/>
      <c r="AF71" s="178"/>
      <c r="AG71" s="2"/>
      <c r="AH71" s="96"/>
    </row>
    <row r="72" spans="1:35" ht="18.75" customHeight="1" x14ac:dyDescent="0.3">
      <c r="A72" s="59"/>
      <c r="B72" s="6" t="s">
        <v>35</v>
      </c>
      <c r="C72" s="13"/>
      <c r="D72" s="7"/>
      <c r="E72" s="7"/>
      <c r="F72" s="12"/>
      <c r="G72" s="7"/>
      <c r="H72" s="137"/>
      <c r="I72" s="105"/>
      <c r="J72" s="12"/>
      <c r="K72" s="44"/>
      <c r="L72" s="7"/>
      <c r="M72" s="179"/>
      <c r="N72" s="174"/>
      <c r="O72" s="71"/>
      <c r="P72" s="179"/>
      <c r="Q72" s="95"/>
      <c r="R72" s="69"/>
      <c r="S72" s="93"/>
      <c r="T72" s="95"/>
      <c r="U72" s="69"/>
      <c r="V72" s="93"/>
      <c r="W72" s="252"/>
      <c r="X72" s="252">
        <v>18010.5</v>
      </c>
      <c r="Y72" s="256">
        <f>W72+X72</f>
        <v>18010.5</v>
      </c>
      <c r="Z72" s="178"/>
      <c r="AA72" s="112"/>
      <c r="AB72" s="184"/>
      <c r="AC72" s="178"/>
      <c r="AD72" s="112"/>
      <c r="AE72" s="184"/>
      <c r="AF72" s="178"/>
      <c r="AG72" s="2"/>
      <c r="AH72" s="96"/>
    </row>
    <row r="73" spans="1:35" ht="18.75" customHeight="1" x14ac:dyDescent="0.3">
      <c r="A73" s="59"/>
      <c r="B73" s="6" t="s">
        <v>36</v>
      </c>
      <c r="C73" s="13"/>
      <c r="D73" s="7"/>
      <c r="E73" s="7"/>
      <c r="F73" s="12"/>
      <c r="G73" s="7"/>
      <c r="H73" s="137"/>
      <c r="I73" s="105"/>
      <c r="J73" s="12"/>
      <c r="K73" s="44"/>
      <c r="L73" s="7"/>
      <c r="M73" s="179"/>
      <c r="N73" s="174"/>
      <c r="O73" s="71"/>
      <c r="P73" s="179"/>
      <c r="Q73" s="95"/>
      <c r="R73" s="69"/>
      <c r="S73" s="93"/>
      <c r="T73" s="95"/>
      <c r="U73" s="69"/>
      <c r="V73" s="93"/>
      <c r="W73" s="252"/>
      <c r="X73" s="257"/>
      <c r="Y73" s="256"/>
      <c r="Z73" s="178"/>
      <c r="AA73" s="112">
        <v>320000</v>
      </c>
      <c r="AB73" s="184">
        <f>Z73+AA73</f>
        <v>320000</v>
      </c>
      <c r="AC73" s="178"/>
      <c r="AD73" s="112">
        <v>320109.5</v>
      </c>
      <c r="AE73" s="184">
        <f>AC73+AD73</f>
        <v>320109.5</v>
      </c>
      <c r="AF73" s="178"/>
      <c r="AG73" s="2"/>
      <c r="AH73" s="96"/>
    </row>
    <row r="74" spans="1:35" ht="154.5" customHeight="1" x14ac:dyDescent="0.3">
      <c r="A74" s="59">
        <v>24</v>
      </c>
      <c r="B74" s="63" t="s">
        <v>68</v>
      </c>
      <c r="C74" s="64"/>
      <c r="D74" s="65" t="s">
        <v>48</v>
      </c>
      <c r="E74" s="65">
        <v>2.35</v>
      </c>
      <c r="F74" s="66"/>
      <c r="G74" s="65"/>
      <c r="H74" s="143"/>
      <c r="I74" s="123">
        <v>600930.19999999995</v>
      </c>
      <c r="J74" s="66"/>
      <c r="K74" s="67"/>
      <c r="L74" s="65"/>
      <c r="M74" s="182">
        <f t="shared" ref="M74:AB74" si="87">M75+M76</f>
        <v>0</v>
      </c>
      <c r="N74" s="176">
        <f t="shared" si="87"/>
        <v>0</v>
      </c>
      <c r="O74" s="73">
        <f t="shared" si="87"/>
        <v>0</v>
      </c>
      <c r="P74" s="182">
        <f t="shared" si="87"/>
        <v>0</v>
      </c>
      <c r="Q74" s="176">
        <f t="shared" si="87"/>
        <v>3057.5</v>
      </c>
      <c r="R74" s="73">
        <f t="shared" si="87"/>
        <v>1698.2</v>
      </c>
      <c r="S74" s="182">
        <f>Q74+R74</f>
        <v>4755.7</v>
      </c>
      <c r="T74" s="176">
        <f t="shared" si="87"/>
        <v>10531.7</v>
      </c>
      <c r="U74" s="73">
        <f t="shared" si="87"/>
        <v>1953.6</v>
      </c>
      <c r="V74" s="182">
        <f t="shared" si="87"/>
        <v>12485.300000000001</v>
      </c>
      <c r="W74" s="176">
        <f t="shared" si="87"/>
        <v>293670.5</v>
      </c>
      <c r="X74" s="176">
        <f t="shared" si="87"/>
        <v>0</v>
      </c>
      <c r="Y74" s="182">
        <f t="shared" si="87"/>
        <v>293670.5</v>
      </c>
      <c r="Z74" s="176">
        <f t="shared" si="87"/>
        <v>290018.7</v>
      </c>
      <c r="AA74" s="176">
        <f t="shared" si="87"/>
        <v>0</v>
      </c>
      <c r="AB74" s="182">
        <f t="shared" si="87"/>
        <v>290018.7</v>
      </c>
      <c r="AC74" s="221"/>
      <c r="AD74" s="116"/>
      <c r="AE74" s="229"/>
      <c r="AF74" s="258"/>
      <c r="AG74" s="259"/>
      <c r="AH74" s="260"/>
      <c r="AI74" s="40">
        <f>I74-M74-P74-S74-V74-Y74-AB74</f>
        <v>0</v>
      </c>
    </row>
    <row r="75" spans="1:35" ht="18.75" customHeight="1" x14ac:dyDescent="0.3">
      <c r="A75" s="59"/>
      <c r="B75" s="26" t="s">
        <v>22</v>
      </c>
      <c r="C75" s="33"/>
      <c r="D75" s="28"/>
      <c r="E75" s="28"/>
      <c r="F75" s="34"/>
      <c r="G75" s="28"/>
      <c r="H75" s="138"/>
      <c r="I75" s="92"/>
      <c r="J75" s="34"/>
      <c r="K75" s="62"/>
      <c r="L75" s="28"/>
      <c r="M75" s="181">
        <v>0</v>
      </c>
      <c r="N75" s="175"/>
      <c r="O75" s="36"/>
      <c r="P75" s="181">
        <f>N75+O75</f>
        <v>0</v>
      </c>
      <c r="Q75" s="85"/>
      <c r="R75" s="35"/>
      <c r="S75" s="92">
        <f>Q75+R75</f>
        <v>0</v>
      </c>
      <c r="T75" s="175"/>
      <c r="U75" s="36"/>
      <c r="V75" s="181"/>
      <c r="W75" s="175">
        <f>W78</f>
        <v>293670.5</v>
      </c>
      <c r="X75" s="175">
        <f t="shared" ref="X75:Y75" si="88">X78</f>
        <v>0</v>
      </c>
      <c r="Y75" s="181">
        <f t="shared" si="88"/>
        <v>293670.5</v>
      </c>
      <c r="Z75" s="175">
        <f>Z78</f>
        <v>290018.7</v>
      </c>
      <c r="AA75" s="175">
        <f t="shared" ref="AA75:AB75" si="89">AA78</f>
        <v>0</v>
      </c>
      <c r="AB75" s="181">
        <f t="shared" si="89"/>
        <v>290018.7</v>
      </c>
      <c r="AC75" s="198"/>
      <c r="AD75" s="113"/>
      <c r="AE75" s="216"/>
      <c r="AF75" s="198"/>
      <c r="AG75" s="198"/>
      <c r="AH75" s="216"/>
    </row>
    <row r="76" spans="1:35" ht="18.75" customHeight="1" x14ac:dyDescent="0.3">
      <c r="A76" s="59"/>
      <c r="B76" s="6" t="s">
        <v>23</v>
      </c>
      <c r="C76" s="13"/>
      <c r="D76" s="7"/>
      <c r="E76" s="7"/>
      <c r="F76" s="12"/>
      <c r="G76" s="7"/>
      <c r="H76" s="137"/>
      <c r="I76" s="93"/>
      <c r="J76" s="12"/>
      <c r="K76" s="44"/>
      <c r="L76" s="7"/>
      <c r="M76" s="179">
        <v>0</v>
      </c>
      <c r="N76" s="174">
        <f>N77+N78</f>
        <v>0</v>
      </c>
      <c r="O76" s="71">
        <f t="shared" ref="O76:P76" si="90">O77+O78</f>
        <v>0</v>
      </c>
      <c r="P76" s="179">
        <f t="shared" si="90"/>
        <v>0</v>
      </c>
      <c r="Q76" s="174">
        <f t="shared" ref="Q76:R76" si="91">Q77+Q78</f>
        <v>3057.5</v>
      </c>
      <c r="R76" s="49">
        <f t="shared" si="91"/>
        <v>1698.2</v>
      </c>
      <c r="S76" s="206">
        <f>Q76+R76</f>
        <v>4755.7</v>
      </c>
      <c r="T76" s="174">
        <f t="shared" ref="T76:U76" si="92">T77+T78</f>
        <v>10531.7</v>
      </c>
      <c r="U76" s="71">
        <f t="shared" si="92"/>
        <v>1953.6</v>
      </c>
      <c r="V76" s="179">
        <f>T76+U76</f>
        <v>12485.300000000001</v>
      </c>
      <c r="W76" s="178"/>
      <c r="X76" s="112"/>
      <c r="Y76" s="184"/>
      <c r="Z76" s="178"/>
      <c r="AA76" s="112"/>
      <c r="AB76" s="184"/>
      <c r="AC76" s="178"/>
      <c r="AD76" s="112"/>
      <c r="AE76" s="184"/>
      <c r="AF76" s="178"/>
      <c r="AG76" s="2"/>
      <c r="AH76" s="96"/>
    </row>
    <row r="77" spans="1:35" ht="19.5" customHeight="1" x14ac:dyDescent="0.3">
      <c r="A77" s="59"/>
      <c r="B77" s="6" t="s">
        <v>35</v>
      </c>
      <c r="C77" s="13"/>
      <c r="D77" s="7"/>
      <c r="E77" s="7"/>
      <c r="F77" s="12"/>
      <c r="G77" s="7"/>
      <c r="H77" s="137"/>
      <c r="I77" s="93"/>
      <c r="J77" s="12"/>
      <c r="K77" s="44"/>
      <c r="L77" s="7"/>
      <c r="M77" s="179">
        <v>0</v>
      </c>
      <c r="N77" s="174">
        <f>10531.7-10531.7</f>
        <v>0</v>
      </c>
      <c r="O77" s="71"/>
      <c r="P77" s="179">
        <f t="shared" ref="P77:P78" si="93">N77+O77</f>
        <v>0</v>
      </c>
      <c r="Q77" s="174">
        <v>3057.5</v>
      </c>
      <c r="R77" s="49">
        <v>1698.2</v>
      </c>
      <c r="S77" s="206">
        <f t="shared" ref="S77:S78" si="94">Q77+R77</f>
        <v>4755.7</v>
      </c>
      <c r="T77" s="174">
        <v>10531.7</v>
      </c>
      <c r="U77" s="71">
        <v>1953.6</v>
      </c>
      <c r="V77" s="179">
        <f>T77+U77</f>
        <v>12485.300000000001</v>
      </c>
      <c r="W77" s="178"/>
      <c r="X77" s="112"/>
      <c r="Y77" s="184"/>
      <c r="Z77" s="178"/>
      <c r="AA77" s="112"/>
      <c r="AB77" s="184"/>
      <c r="AC77" s="178"/>
      <c r="AD77" s="112"/>
      <c r="AE77" s="184"/>
      <c r="AF77" s="178"/>
      <c r="AG77" s="2"/>
      <c r="AH77" s="96"/>
    </row>
    <row r="78" spans="1:35" ht="19.5" customHeight="1" x14ac:dyDescent="0.3">
      <c r="A78" s="59"/>
      <c r="B78" s="6" t="s">
        <v>39</v>
      </c>
      <c r="C78" s="13"/>
      <c r="D78" s="7"/>
      <c r="E78" s="7"/>
      <c r="F78" s="12"/>
      <c r="G78" s="7"/>
      <c r="H78" s="137"/>
      <c r="I78" s="93"/>
      <c r="J78" s="12"/>
      <c r="K78" s="44"/>
      <c r="L78" s="7"/>
      <c r="M78" s="179">
        <v>0</v>
      </c>
      <c r="N78" s="95"/>
      <c r="O78" s="69"/>
      <c r="P78" s="179">
        <f t="shared" si="93"/>
        <v>0</v>
      </c>
      <c r="Q78" s="95"/>
      <c r="R78" s="69"/>
      <c r="S78" s="179">
        <f t="shared" si="94"/>
        <v>0</v>
      </c>
      <c r="T78" s="95"/>
      <c r="U78" s="69"/>
      <c r="V78" s="93"/>
      <c r="W78" s="95">
        <v>293670.5</v>
      </c>
      <c r="X78" s="69"/>
      <c r="Y78" s="93">
        <f>W78+X78</f>
        <v>293670.5</v>
      </c>
      <c r="Z78" s="95">
        <f>293670.5-3651.8</f>
        <v>290018.7</v>
      </c>
      <c r="AA78" s="69"/>
      <c r="AB78" s="93">
        <f>Z78+AA78</f>
        <v>290018.7</v>
      </c>
      <c r="AC78" s="178"/>
      <c r="AD78" s="112"/>
      <c r="AE78" s="184"/>
      <c r="AF78" s="178"/>
      <c r="AG78" s="2"/>
      <c r="AH78" s="96"/>
    </row>
    <row r="79" spans="1:35" ht="141" customHeight="1" x14ac:dyDescent="0.3">
      <c r="A79" s="59">
        <v>25</v>
      </c>
      <c r="B79" s="63" t="s">
        <v>69</v>
      </c>
      <c r="C79" s="64"/>
      <c r="D79" s="65" t="s">
        <v>50</v>
      </c>
      <c r="E79" s="65">
        <v>8.2609999999999992</v>
      </c>
      <c r="F79" s="66"/>
      <c r="G79" s="65"/>
      <c r="H79" s="143"/>
      <c r="I79" s="123">
        <f>2007324+8527.6-115.1</f>
        <v>2015736.5</v>
      </c>
      <c r="J79" s="66"/>
      <c r="K79" s="67"/>
      <c r="L79" s="65"/>
      <c r="M79" s="182">
        <f t="shared" ref="M79:AH79" si="95">M80+M81</f>
        <v>0</v>
      </c>
      <c r="N79" s="176">
        <f t="shared" si="95"/>
        <v>0</v>
      </c>
      <c r="O79" s="73">
        <f t="shared" si="95"/>
        <v>0</v>
      </c>
      <c r="P79" s="182">
        <f t="shared" si="95"/>
        <v>0</v>
      </c>
      <c r="Q79" s="176">
        <f t="shared" si="95"/>
        <v>0</v>
      </c>
      <c r="R79" s="73">
        <f t="shared" si="95"/>
        <v>0</v>
      </c>
      <c r="S79" s="182">
        <f t="shared" si="95"/>
        <v>0</v>
      </c>
      <c r="T79" s="176">
        <f t="shared" si="95"/>
        <v>0</v>
      </c>
      <c r="U79" s="73">
        <f t="shared" si="95"/>
        <v>0</v>
      </c>
      <c r="V79" s="182">
        <f t="shared" si="95"/>
        <v>0</v>
      </c>
      <c r="W79" s="176">
        <f t="shared" si="95"/>
        <v>5990.8</v>
      </c>
      <c r="X79" s="176">
        <f t="shared" si="95"/>
        <v>-5990.8</v>
      </c>
      <c r="Y79" s="182">
        <f t="shared" si="95"/>
        <v>0</v>
      </c>
      <c r="Z79" s="176">
        <f t="shared" si="95"/>
        <v>9745.7000000000007</v>
      </c>
      <c r="AA79" s="176">
        <f t="shared" si="95"/>
        <v>-3208.5</v>
      </c>
      <c r="AB79" s="182">
        <f t="shared" si="95"/>
        <v>6537.2000000000007</v>
      </c>
      <c r="AC79" s="176">
        <f t="shared" si="95"/>
        <v>1000000</v>
      </c>
      <c r="AD79" s="176">
        <f t="shared" si="95"/>
        <v>-984223.1</v>
      </c>
      <c r="AE79" s="182">
        <f t="shared" si="95"/>
        <v>15776.9</v>
      </c>
      <c r="AF79" s="176">
        <f t="shared" si="95"/>
        <v>1000000</v>
      </c>
      <c r="AG79" s="176">
        <f t="shared" si="95"/>
        <v>993422.4</v>
      </c>
      <c r="AH79" s="182">
        <f t="shared" si="95"/>
        <v>1993422.4</v>
      </c>
      <c r="AI79" s="40">
        <f>I79-Y79-AB79-AE79-AH79</f>
        <v>0</v>
      </c>
    </row>
    <row r="80" spans="1:35" ht="19.5" customHeight="1" x14ac:dyDescent="0.3">
      <c r="A80" s="59"/>
      <c r="B80" s="26" t="s">
        <v>22</v>
      </c>
      <c r="C80" s="33"/>
      <c r="D80" s="28"/>
      <c r="E80" s="28"/>
      <c r="F80" s="34"/>
      <c r="G80" s="28"/>
      <c r="H80" s="138"/>
      <c r="I80" s="92"/>
      <c r="J80" s="34"/>
      <c r="K80" s="62"/>
      <c r="L80" s="28"/>
      <c r="M80" s="181"/>
      <c r="N80" s="175"/>
      <c r="O80" s="36"/>
      <c r="P80" s="181">
        <f>N80+O80</f>
        <v>0</v>
      </c>
      <c r="Q80" s="85"/>
      <c r="R80" s="35"/>
      <c r="S80" s="92">
        <f>Q80+R80</f>
        <v>0</v>
      </c>
      <c r="T80" s="85"/>
      <c r="U80" s="35"/>
      <c r="V80" s="92"/>
      <c r="W80" s="85"/>
      <c r="X80" s="35"/>
      <c r="Y80" s="92"/>
      <c r="Z80" s="85"/>
      <c r="AA80" s="35"/>
      <c r="AB80" s="92"/>
      <c r="AC80" s="85">
        <f>AC83</f>
        <v>1000000</v>
      </c>
      <c r="AD80" s="85">
        <f t="shared" ref="AD80:AE80" si="96">AD83</f>
        <v>-1000000</v>
      </c>
      <c r="AE80" s="92">
        <f t="shared" si="96"/>
        <v>0</v>
      </c>
      <c r="AF80" s="85">
        <f>AF83</f>
        <v>1000000</v>
      </c>
      <c r="AG80" s="85">
        <f t="shared" ref="AG80:AH80" si="97">AG83</f>
        <v>993422.4</v>
      </c>
      <c r="AH80" s="92">
        <f t="shared" si="97"/>
        <v>1993422.4</v>
      </c>
    </row>
    <row r="81" spans="1:36" ht="19.5" customHeight="1" x14ac:dyDescent="0.3">
      <c r="A81" s="59"/>
      <c r="B81" s="6" t="s">
        <v>23</v>
      </c>
      <c r="C81" s="13"/>
      <c r="D81" s="7"/>
      <c r="E81" s="7"/>
      <c r="F81" s="12"/>
      <c r="G81" s="7"/>
      <c r="H81" s="137"/>
      <c r="I81" s="93"/>
      <c r="J81" s="12"/>
      <c r="K81" s="44"/>
      <c r="L81" s="7"/>
      <c r="M81" s="93">
        <v>0</v>
      </c>
      <c r="N81" s="95">
        <f t="shared" ref="N81:O81" si="98">N82+N83</f>
        <v>0</v>
      </c>
      <c r="O81" s="69">
        <f t="shared" si="98"/>
        <v>0</v>
      </c>
      <c r="P81" s="93">
        <f>N81+O81</f>
        <v>0</v>
      </c>
      <c r="Q81" s="95">
        <f>Q82</f>
        <v>0</v>
      </c>
      <c r="R81" s="69">
        <f t="shared" ref="R81:S81" si="99">R82</f>
        <v>0</v>
      </c>
      <c r="S81" s="93">
        <f t="shared" si="99"/>
        <v>0</v>
      </c>
      <c r="T81" s="95"/>
      <c r="U81" s="69"/>
      <c r="V81" s="93"/>
      <c r="W81" s="95">
        <f>W82+W83</f>
        <v>5990.8</v>
      </c>
      <c r="X81" s="69">
        <f t="shared" ref="X81:Y81" si="100">X82+X83</f>
        <v>-5990.8</v>
      </c>
      <c r="Y81" s="93">
        <f t="shared" si="100"/>
        <v>0</v>
      </c>
      <c r="Z81" s="95">
        <f>Z82+Z83</f>
        <v>9745.7000000000007</v>
      </c>
      <c r="AA81" s="95">
        <f t="shared" ref="AA81:AB81" si="101">AA82+AA83</f>
        <v>-3208.5</v>
      </c>
      <c r="AB81" s="93">
        <f t="shared" si="101"/>
        <v>6537.2000000000007</v>
      </c>
      <c r="AC81" s="95">
        <f>AC82</f>
        <v>0</v>
      </c>
      <c r="AD81" s="95">
        <f t="shared" ref="AD81:AE81" si="102">AD82</f>
        <v>15776.9</v>
      </c>
      <c r="AE81" s="93">
        <f t="shared" si="102"/>
        <v>15776.9</v>
      </c>
      <c r="AF81" s="95">
        <f t="shared" ref="AF81" si="103">AF82</f>
        <v>0</v>
      </c>
      <c r="AG81" s="2"/>
      <c r="AH81" s="96"/>
    </row>
    <row r="82" spans="1:36" ht="19.5" customHeight="1" x14ac:dyDescent="0.3">
      <c r="A82" s="59"/>
      <c r="B82" s="6" t="s">
        <v>35</v>
      </c>
      <c r="C82" s="13"/>
      <c r="D82" s="7"/>
      <c r="E82" s="7"/>
      <c r="F82" s="12"/>
      <c r="G82" s="7"/>
      <c r="H82" s="137"/>
      <c r="I82" s="105"/>
      <c r="J82" s="12"/>
      <c r="K82" s="44"/>
      <c r="L82" s="7"/>
      <c r="M82" s="93">
        <v>0</v>
      </c>
      <c r="N82" s="174">
        <f>3662+2328.8-5990.8</f>
        <v>0</v>
      </c>
      <c r="O82" s="71"/>
      <c r="P82" s="93">
        <f t="shared" ref="P82:P83" si="104">N82+O82</f>
        <v>0</v>
      </c>
      <c r="Q82" s="95">
        <f>9781.2-35.5-9745.7</f>
        <v>0</v>
      </c>
      <c r="R82" s="69"/>
      <c r="S82" s="93">
        <f t="shared" ref="S82:S83" si="105">Q82+R82</f>
        <v>0</v>
      </c>
      <c r="T82" s="190"/>
      <c r="U82" s="50"/>
      <c r="V82" s="204"/>
      <c r="W82" s="201">
        <v>5990.8</v>
      </c>
      <c r="X82" s="163">
        <v>-5990.8</v>
      </c>
      <c r="Y82" s="219">
        <f>W82+X82</f>
        <v>0</v>
      </c>
      <c r="Z82" s="213">
        <v>9745.7000000000007</v>
      </c>
      <c r="AA82" s="164">
        <v>-3208.5</v>
      </c>
      <c r="AB82" s="225">
        <f>Z82+AA82</f>
        <v>6537.2000000000007</v>
      </c>
      <c r="AC82" s="222"/>
      <c r="AD82" s="162">
        <v>15776.9</v>
      </c>
      <c r="AE82" s="230">
        <f>AC82+AD82</f>
        <v>15776.9</v>
      </c>
      <c r="AF82" s="222"/>
      <c r="AG82" s="2"/>
      <c r="AH82" s="96"/>
    </row>
    <row r="83" spans="1:36" ht="19.5" customHeight="1" x14ac:dyDescent="0.3">
      <c r="A83" s="59"/>
      <c r="B83" s="6" t="s">
        <v>39</v>
      </c>
      <c r="C83" s="13"/>
      <c r="D83" s="7"/>
      <c r="E83" s="7"/>
      <c r="F83" s="12"/>
      <c r="G83" s="7"/>
      <c r="H83" s="137"/>
      <c r="I83" s="105"/>
      <c r="J83" s="12"/>
      <c r="K83" s="44"/>
      <c r="L83" s="7"/>
      <c r="M83" s="93">
        <v>0</v>
      </c>
      <c r="N83" s="174"/>
      <c r="O83" s="71"/>
      <c r="P83" s="93">
        <f t="shared" si="104"/>
        <v>0</v>
      </c>
      <c r="Q83" s="95"/>
      <c r="R83" s="69"/>
      <c r="S83" s="93">
        <f t="shared" si="105"/>
        <v>0</v>
      </c>
      <c r="T83" s="95"/>
      <c r="U83" s="69"/>
      <c r="V83" s="93"/>
      <c r="W83" s="84"/>
      <c r="X83" s="48"/>
      <c r="Y83" s="91"/>
      <c r="Z83" s="84"/>
      <c r="AA83" s="48"/>
      <c r="AB83" s="91"/>
      <c r="AC83" s="84">
        <v>1000000</v>
      </c>
      <c r="AD83" s="48">
        <v>-1000000</v>
      </c>
      <c r="AE83" s="91">
        <f>AC83+AD83</f>
        <v>0</v>
      </c>
      <c r="AF83" s="84">
        <v>1000000</v>
      </c>
      <c r="AG83" s="164">
        <v>993422.4</v>
      </c>
      <c r="AH83" s="225">
        <f>AF83+AG83</f>
        <v>1993422.4</v>
      </c>
    </row>
    <row r="84" spans="1:36" ht="143.25" customHeight="1" x14ac:dyDescent="0.3">
      <c r="A84" s="59">
        <v>26</v>
      </c>
      <c r="B84" s="63" t="s">
        <v>70</v>
      </c>
      <c r="C84" s="64"/>
      <c r="D84" s="65" t="s">
        <v>50</v>
      </c>
      <c r="E84" s="65">
        <v>7.5890000000000004</v>
      </c>
      <c r="F84" s="66"/>
      <c r="G84" s="65"/>
      <c r="H84" s="143"/>
      <c r="I84" s="123">
        <v>1019376.3</v>
      </c>
      <c r="J84" s="100"/>
      <c r="K84" s="72"/>
      <c r="L84" s="68"/>
      <c r="M84" s="182">
        <f t="shared" ref="M84" si="106">M85+M86</f>
        <v>0</v>
      </c>
      <c r="N84" s="176">
        <f>N85+N86</f>
        <v>0</v>
      </c>
      <c r="O84" s="73">
        <f t="shared" ref="O84:AH84" si="107">O85+O86</f>
        <v>0</v>
      </c>
      <c r="P84" s="182">
        <f t="shared" si="107"/>
        <v>0</v>
      </c>
      <c r="Q84" s="176">
        <f t="shared" si="107"/>
        <v>0</v>
      </c>
      <c r="R84" s="73">
        <f t="shared" si="107"/>
        <v>0</v>
      </c>
      <c r="S84" s="182">
        <f>Q84+R84</f>
        <v>0</v>
      </c>
      <c r="T84" s="176">
        <f t="shared" si="107"/>
        <v>0</v>
      </c>
      <c r="U84" s="73">
        <f t="shared" si="107"/>
        <v>0</v>
      </c>
      <c r="V84" s="182">
        <f t="shared" si="107"/>
        <v>0</v>
      </c>
      <c r="W84" s="176">
        <f t="shared" si="107"/>
        <v>5815.2</v>
      </c>
      <c r="X84" s="176">
        <f t="shared" si="107"/>
        <v>-5815.2</v>
      </c>
      <c r="Y84" s="182">
        <f t="shared" si="107"/>
        <v>0</v>
      </c>
      <c r="Z84" s="176">
        <f t="shared" si="107"/>
        <v>13561.1</v>
      </c>
      <c r="AA84" s="176">
        <f t="shared" si="107"/>
        <v>-7045.5</v>
      </c>
      <c r="AB84" s="182">
        <f t="shared" si="107"/>
        <v>6515.6</v>
      </c>
      <c r="AC84" s="176">
        <f t="shared" si="107"/>
        <v>500000</v>
      </c>
      <c r="AD84" s="176">
        <f t="shared" si="107"/>
        <v>-474813.6</v>
      </c>
      <c r="AE84" s="182">
        <f t="shared" si="107"/>
        <v>25186.400000000001</v>
      </c>
      <c r="AF84" s="176">
        <f t="shared" si="107"/>
        <v>500000</v>
      </c>
      <c r="AG84" s="176">
        <f t="shared" si="107"/>
        <v>487674.3</v>
      </c>
      <c r="AH84" s="182">
        <f t="shared" si="107"/>
        <v>987674.3</v>
      </c>
      <c r="AI84" s="238">
        <f>I84-Y84-AB84-AE84-AH84</f>
        <v>0</v>
      </c>
    </row>
    <row r="85" spans="1:36" ht="21" customHeight="1" x14ac:dyDescent="0.3">
      <c r="A85" s="59"/>
      <c r="B85" s="26" t="s">
        <v>22</v>
      </c>
      <c r="C85" s="33"/>
      <c r="D85" s="28"/>
      <c r="E85" s="28"/>
      <c r="F85" s="34"/>
      <c r="G85" s="28"/>
      <c r="H85" s="138"/>
      <c r="I85" s="92"/>
      <c r="J85" s="85"/>
      <c r="K85" s="74"/>
      <c r="L85" s="35"/>
      <c r="M85" s="181"/>
      <c r="N85" s="175"/>
      <c r="O85" s="36"/>
      <c r="P85" s="181"/>
      <c r="Q85" s="85"/>
      <c r="R85" s="35"/>
      <c r="S85" s="92">
        <f>Q85+R85</f>
        <v>0</v>
      </c>
      <c r="T85" s="189"/>
      <c r="U85" s="37"/>
      <c r="V85" s="203"/>
      <c r="W85" s="198"/>
      <c r="X85" s="113"/>
      <c r="Y85" s="216"/>
      <c r="Z85" s="198"/>
      <c r="AA85" s="113"/>
      <c r="AB85" s="216"/>
      <c r="AC85" s="198">
        <f>AC88</f>
        <v>500000</v>
      </c>
      <c r="AD85" s="198">
        <f t="shared" ref="AD85:AE85" si="108">AD88</f>
        <v>-500000</v>
      </c>
      <c r="AE85" s="216">
        <f t="shared" si="108"/>
        <v>0</v>
      </c>
      <c r="AF85" s="198">
        <f>AF88</f>
        <v>500000</v>
      </c>
      <c r="AG85" s="198">
        <f t="shared" ref="AG85:AH85" si="109">AG88</f>
        <v>487674.3</v>
      </c>
      <c r="AH85" s="216">
        <f t="shared" si="109"/>
        <v>987674.3</v>
      </c>
    </row>
    <row r="86" spans="1:36" ht="21" customHeight="1" x14ac:dyDescent="0.3">
      <c r="A86" s="59"/>
      <c r="B86" s="6" t="s">
        <v>23</v>
      </c>
      <c r="C86" s="13"/>
      <c r="D86" s="7"/>
      <c r="E86" s="7"/>
      <c r="F86" s="12"/>
      <c r="G86" s="7"/>
      <c r="H86" s="137"/>
      <c r="I86" s="93"/>
      <c r="J86" s="95"/>
      <c r="K86" s="70"/>
      <c r="L86" s="69"/>
      <c r="M86" s="93">
        <f t="shared" ref="M86" si="110">M87+M88</f>
        <v>0</v>
      </c>
      <c r="N86" s="95">
        <f>N87+N88</f>
        <v>0</v>
      </c>
      <c r="O86" s="69">
        <f t="shared" ref="O86:P86" si="111">O87+O88</f>
        <v>0</v>
      </c>
      <c r="P86" s="93">
        <f t="shared" si="111"/>
        <v>0</v>
      </c>
      <c r="Q86" s="95">
        <f>Q87</f>
        <v>0</v>
      </c>
      <c r="R86" s="69">
        <f t="shared" ref="R86:S86" si="112">R87</f>
        <v>0</v>
      </c>
      <c r="S86" s="93">
        <f t="shared" si="112"/>
        <v>0</v>
      </c>
      <c r="T86" s="191"/>
      <c r="U86" s="75"/>
      <c r="V86" s="205"/>
      <c r="W86" s="95">
        <f>W87+W88</f>
        <v>5815.2</v>
      </c>
      <c r="X86" s="95">
        <f t="shared" ref="X86:Y86" si="113">X87+X88</f>
        <v>-5815.2</v>
      </c>
      <c r="Y86" s="93">
        <f t="shared" si="113"/>
        <v>0</v>
      </c>
      <c r="Z86" s="95">
        <f>Z87</f>
        <v>13561.1</v>
      </c>
      <c r="AA86" s="95">
        <f t="shared" ref="AA86:AB86" si="114">AA87</f>
        <v>-7045.5</v>
      </c>
      <c r="AB86" s="93">
        <f t="shared" si="114"/>
        <v>6515.6</v>
      </c>
      <c r="AC86" s="178">
        <f>AC87</f>
        <v>0</v>
      </c>
      <c r="AD86" s="178">
        <f t="shared" ref="AD86:AE86" si="115">AD87</f>
        <v>25186.400000000001</v>
      </c>
      <c r="AE86" s="184">
        <f t="shared" si="115"/>
        <v>25186.400000000001</v>
      </c>
      <c r="AF86" s="178"/>
      <c r="AG86" s="2"/>
      <c r="AH86" s="96"/>
    </row>
    <row r="87" spans="1:36" ht="19.5" customHeight="1" x14ac:dyDescent="0.3">
      <c r="A87" s="59"/>
      <c r="B87" s="6" t="s">
        <v>35</v>
      </c>
      <c r="C87" s="13"/>
      <c r="D87" s="7"/>
      <c r="E87" s="7"/>
      <c r="F87" s="12"/>
      <c r="G87" s="7"/>
      <c r="H87" s="137"/>
      <c r="I87" s="93"/>
      <c r="J87" s="95"/>
      <c r="K87" s="70"/>
      <c r="L87" s="69"/>
      <c r="M87" s="93">
        <v>0</v>
      </c>
      <c r="N87" s="95">
        <f>3581.5+2233.7-5815.2</f>
        <v>0</v>
      </c>
      <c r="O87" s="69"/>
      <c r="P87" s="93">
        <f t="shared" ref="P87:P88" si="116">N87+O87</f>
        <v>0</v>
      </c>
      <c r="Q87" s="95">
        <f>13496.6+64.5-13561.1</f>
        <v>0</v>
      </c>
      <c r="R87" s="69"/>
      <c r="S87" s="93">
        <f t="shared" ref="S87:S89" si="117">Q87+R87</f>
        <v>0</v>
      </c>
      <c r="T87" s="191"/>
      <c r="U87" s="75"/>
      <c r="V87" s="205"/>
      <c r="W87" s="95">
        <f>3581.5+2233.7</f>
        <v>5815.2</v>
      </c>
      <c r="X87" s="69">
        <v>-5815.2</v>
      </c>
      <c r="Y87" s="93">
        <f>W87+X87</f>
        <v>0</v>
      </c>
      <c r="Z87" s="95">
        <f>13496.6+64.5</f>
        <v>13561.1</v>
      </c>
      <c r="AA87" s="69">
        <v>-7045.5</v>
      </c>
      <c r="AB87" s="93">
        <f>Z87+AA87</f>
        <v>6515.6</v>
      </c>
      <c r="AC87" s="178"/>
      <c r="AD87" s="112">
        <v>25186.400000000001</v>
      </c>
      <c r="AE87" s="184">
        <f>AC87+AD87</f>
        <v>25186.400000000001</v>
      </c>
      <c r="AF87" s="178"/>
      <c r="AG87" s="2"/>
      <c r="AH87" s="96"/>
    </row>
    <row r="88" spans="1:36" ht="19.5" customHeight="1" x14ac:dyDescent="0.3">
      <c r="A88" s="59"/>
      <c r="B88" s="6" t="s">
        <v>39</v>
      </c>
      <c r="C88" s="13"/>
      <c r="D88" s="7"/>
      <c r="E88" s="7"/>
      <c r="F88" s="12"/>
      <c r="G88" s="7"/>
      <c r="H88" s="137"/>
      <c r="I88" s="93"/>
      <c r="J88" s="95"/>
      <c r="K88" s="70"/>
      <c r="L88" s="69"/>
      <c r="M88" s="93"/>
      <c r="N88" s="95"/>
      <c r="O88" s="69"/>
      <c r="P88" s="93">
        <f t="shared" si="116"/>
        <v>0</v>
      </c>
      <c r="Q88" s="95"/>
      <c r="R88" s="69"/>
      <c r="S88" s="93">
        <f t="shared" si="117"/>
        <v>0</v>
      </c>
      <c r="T88" s="191"/>
      <c r="U88" s="75"/>
      <c r="V88" s="205"/>
      <c r="W88" s="178"/>
      <c r="X88" s="112"/>
      <c r="Y88" s="184"/>
      <c r="Z88" s="178"/>
      <c r="AA88" s="112"/>
      <c r="AB88" s="184"/>
      <c r="AC88" s="178">
        <v>500000</v>
      </c>
      <c r="AD88" s="112">
        <v>-500000</v>
      </c>
      <c r="AE88" s="184">
        <f>AC88+AD88</f>
        <v>0</v>
      </c>
      <c r="AF88" s="178">
        <v>500000</v>
      </c>
      <c r="AG88" s="2">
        <v>487674.3</v>
      </c>
      <c r="AH88" s="184">
        <f>AF88+AG88</f>
        <v>987674.3</v>
      </c>
    </row>
    <row r="89" spans="1:36" ht="135.75" customHeight="1" x14ac:dyDescent="0.3">
      <c r="A89" s="151"/>
      <c r="B89" s="6" t="s">
        <v>56</v>
      </c>
      <c r="C89" s="8" t="s">
        <v>47</v>
      </c>
      <c r="D89" s="7" t="s">
        <v>50</v>
      </c>
      <c r="E89" s="7">
        <v>21.492999999999999</v>
      </c>
      <c r="F89" s="7"/>
      <c r="G89" s="7"/>
      <c r="H89" s="38">
        <v>117560.10248</v>
      </c>
      <c r="I89" s="89">
        <f>17414460+202+1380.002</f>
        <v>17416042.002</v>
      </c>
      <c r="J89" s="12"/>
      <c r="K89" s="7"/>
      <c r="L89" s="9"/>
      <c r="M89" s="91">
        <f t="shared" ref="M89" si="118">M90+M91</f>
        <v>0</v>
      </c>
      <c r="N89" s="174">
        <f>N90+N91</f>
        <v>0</v>
      </c>
      <c r="O89" s="71">
        <f t="shared" ref="O89:AH89" si="119">O90+O91</f>
        <v>0</v>
      </c>
      <c r="P89" s="179">
        <f t="shared" si="119"/>
        <v>0</v>
      </c>
      <c r="Q89" s="174">
        <f t="shared" si="119"/>
        <v>0</v>
      </c>
      <c r="R89" s="71"/>
      <c r="S89" s="93">
        <f t="shared" si="117"/>
        <v>0</v>
      </c>
      <c r="T89" s="174">
        <f t="shared" si="119"/>
        <v>0</v>
      </c>
      <c r="U89" s="71"/>
      <c r="V89" s="179"/>
      <c r="W89" s="174">
        <f t="shared" si="119"/>
        <v>4001380</v>
      </c>
      <c r="X89" s="174">
        <f t="shared" si="119"/>
        <v>0</v>
      </c>
      <c r="Y89" s="179">
        <f t="shared" si="119"/>
        <v>4001380</v>
      </c>
      <c r="Z89" s="174">
        <f t="shared" si="119"/>
        <v>4000000</v>
      </c>
      <c r="AA89" s="174">
        <f t="shared" si="119"/>
        <v>0</v>
      </c>
      <c r="AB89" s="179">
        <f t="shared" si="119"/>
        <v>4000000</v>
      </c>
      <c r="AC89" s="174">
        <f t="shared" si="119"/>
        <v>3600000</v>
      </c>
      <c r="AD89" s="174">
        <f t="shared" si="119"/>
        <v>0</v>
      </c>
      <c r="AE89" s="179">
        <f t="shared" si="119"/>
        <v>3600000</v>
      </c>
      <c r="AF89" s="226">
        <f t="shared" si="119"/>
        <v>5697099.8999999994</v>
      </c>
      <c r="AG89" s="226">
        <f t="shared" si="119"/>
        <v>0</v>
      </c>
      <c r="AH89" s="286">
        <f t="shared" si="119"/>
        <v>5697099.8999999994</v>
      </c>
      <c r="AI89" s="263">
        <f>I89-M89-P89-S89-V89-Y89-AB89-AE89-AH89</f>
        <v>117562.10200000089</v>
      </c>
      <c r="AJ89" s="300" t="s">
        <v>96</v>
      </c>
    </row>
    <row r="90" spans="1:36" ht="27" customHeight="1" x14ac:dyDescent="0.3">
      <c r="A90" s="151"/>
      <c r="B90" s="26" t="s">
        <v>22</v>
      </c>
      <c r="C90" s="8"/>
      <c r="D90" s="28"/>
      <c r="E90" s="28"/>
      <c r="F90" s="28"/>
      <c r="G90" s="28"/>
      <c r="H90" s="138"/>
      <c r="I90" s="90"/>
      <c r="J90" s="34"/>
      <c r="K90" s="28"/>
      <c r="L90" s="19"/>
      <c r="M90" s="181"/>
      <c r="N90" s="175"/>
      <c r="O90" s="36"/>
      <c r="P90" s="181">
        <f>N90+O90</f>
        <v>0</v>
      </c>
      <c r="Q90" s="175"/>
      <c r="R90" s="36"/>
      <c r="S90" s="181">
        <f>Q90+R90</f>
        <v>0</v>
      </c>
      <c r="T90" s="175"/>
      <c r="U90" s="36"/>
      <c r="V90" s="181"/>
      <c r="W90" s="189">
        <f>W93</f>
        <v>4000000</v>
      </c>
      <c r="X90" s="189">
        <f t="shared" ref="X90:Y90" si="120">X93</f>
        <v>0</v>
      </c>
      <c r="Y90" s="203">
        <f t="shared" si="120"/>
        <v>4000000</v>
      </c>
      <c r="Z90" s="189">
        <f>Z93</f>
        <v>4000000</v>
      </c>
      <c r="AA90" s="189">
        <f t="shared" ref="AA90:AB90" si="121">AA93</f>
        <v>0</v>
      </c>
      <c r="AB90" s="203">
        <f t="shared" si="121"/>
        <v>4000000</v>
      </c>
      <c r="AC90" s="189">
        <f>AC93</f>
        <v>3600000</v>
      </c>
      <c r="AD90" s="189">
        <f t="shared" ref="AD90:AE90" si="122">AD93</f>
        <v>0</v>
      </c>
      <c r="AE90" s="203">
        <f t="shared" si="122"/>
        <v>3600000</v>
      </c>
      <c r="AF90" s="227">
        <f>AF93</f>
        <v>5697099.8999999994</v>
      </c>
      <c r="AG90" s="227">
        <f>AG93</f>
        <v>0</v>
      </c>
      <c r="AH90" s="287">
        <f>AH93</f>
        <v>5697099.8999999994</v>
      </c>
    </row>
    <row r="91" spans="1:36" ht="27" customHeight="1" x14ac:dyDescent="0.3">
      <c r="A91" s="151"/>
      <c r="B91" s="6" t="s">
        <v>23</v>
      </c>
      <c r="C91" s="8"/>
      <c r="D91" s="7"/>
      <c r="E91" s="7"/>
      <c r="F91" s="7"/>
      <c r="G91" s="7"/>
      <c r="H91" s="137"/>
      <c r="I91" s="89"/>
      <c r="J91" s="12"/>
      <c r="K91" s="7"/>
      <c r="L91" s="9"/>
      <c r="M91" s="93">
        <v>0</v>
      </c>
      <c r="N91" s="174"/>
      <c r="O91" s="71"/>
      <c r="P91" s="179"/>
      <c r="Q91" s="174"/>
      <c r="R91" s="71"/>
      <c r="S91" s="179">
        <f>Q91+R91</f>
        <v>0</v>
      </c>
      <c r="T91" s="174"/>
      <c r="U91" s="71"/>
      <c r="V91" s="179"/>
      <c r="W91" s="178">
        <f>W92</f>
        <v>1380</v>
      </c>
      <c r="X91" s="178">
        <f t="shared" ref="X91:Y91" si="123">X92</f>
        <v>0</v>
      </c>
      <c r="Y91" s="184">
        <f t="shared" si="123"/>
        <v>1380</v>
      </c>
      <c r="Z91" s="178"/>
      <c r="AA91" s="112"/>
      <c r="AB91" s="184"/>
      <c r="AC91" s="178"/>
      <c r="AD91" s="112"/>
      <c r="AE91" s="184"/>
      <c r="AF91" s="178"/>
      <c r="AG91" s="2"/>
      <c r="AH91" s="96"/>
    </row>
    <row r="92" spans="1:36" ht="27" customHeight="1" x14ac:dyDescent="0.3">
      <c r="A92" s="151"/>
      <c r="B92" s="6" t="s">
        <v>35</v>
      </c>
      <c r="C92" s="8"/>
      <c r="D92" s="7"/>
      <c r="E92" s="7"/>
      <c r="F92" s="7"/>
      <c r="G92" s="7"/>
      <c r="H92" s="137"/>
      <c r="I92" s="89"/>
      <c r="J92" s="12"/>
      <c r="K92" s="7"/>
      <c r="L92" s="9"/>
      <c r="M92" s="93">
        <v>0</v>
      </c>
      <c r="N92" s="174"/>
      <c r="O92" s="71"/>
      <c r="P92" s="179"/>
      <c r="Q92" s="174"/>
      <c r="R92" s="71"/>
      <c r="S92" s="179">
        <f t="shared" ref="S92:S96" si="124">Q92+R92</f>
        <v>0</v>
      </c>
      <c r="T92" s="174"/>
      <c r="U92" s="71"/>
      <c r="V92" s="179"/>
      <c r="W92" s="178">
        <v>1380</v>
      </c>
      <c r="X92" s="112"/>
      <c r="Y92" s="184">
        <f>W92+X92</f>
        <v>1380</v>
      </c>
      <c r="Z92" s="178"/>
      <c r="AA92" s="112"/>
      <c r="AB92" s="184"/>
      <c r="AC92" s="178"/>
      <c r="AD92" s="112"/>
      <c r="AE92" s="184"/>
      <c r="AF92" s="178"/>
      <c r="AG92" s="2"/>
      <c r="AH92" s="96"/>
    </row>
    <row r="93" spans="1:36" ht="27" customHeight="1" x14ac:dyDescent="0.3">
      <c r="A93" s="151"/>
      <c r="B93" s="6" t="s">
        <v>44</v>
      </c>
      <c r="C93" s="8"/>
      <c r="D93" s="7"/>
      <c r="E93" s="7"/>
      <c r="F93" s="7"/>
      <c r="G93" s="7"/>
      <c r="H93" s="137"/>
      <c r="I93" s="89"/>
      <c r="J93" s="12"/>
      <c r="K93" s="7"/>
      <c r="L93" s="9"/>
      <c r="M93" s="179"/>
      <c r="N93" s="174"/>
      <c r="O93" s="71"/>
      <c r="P93" s="179">
        <f>N93+O93</f>
        <v>0</v>
      </c>
      <c r="Q93" s="187"/>
      <c r="R93" s="49"/>
      <c r="S93" s="179">
        <f t="shared" si="124"/>
        <v>0</v>
      </c>
      <c r="T93" s="187"/>
      <c r="U93" s="49"/>
      <c r="V93" s="206"/>
      <c r="W93" s="190">
        <v>4000000</v>
      </c>
      <c r="X93" s="50"/>
      <c r="Y93" s="204">
        <f>W93+X93</f>
        <v>4000000</v>
      </c>
      <c r="Z93" s="190">
        <v>4000000</v>
      </c>
      <c r="AA93" s="50"/>
      <c r="AB93" s="204">
        <f>Z93+AA93</f>
        <v>4000000</v>
      </c>
      <c r="AC93" s="190">
        <v>3600000</v>
      </c>
      <c r="AD93" s="50"/>
      <c r="AE93" s="204">
        <f>AC93+AD93</f>
        <v>3600000</v>
      </c>
      <c r="AF93" s="228">
        <f>3679205.9+2001000+135254.1-1000-117362.012+1.912</f>
        <v>5697099.8999999994</v>
      </c>
      <c r="AG93" s="2"/>
      <c r="AH93" s="262">
        <f>AF93+AG93</f>
        <v>5697099.8999999994</v>
      </c>
    </row>
    <row r="94" spans="1:36" ht="92.25" customHeight="1" x14ac:dyDescent="0.3">
      <c r="A94" s="59"/>
      <c r="B94" s="124" t="s">
        <v>57</v>
      </c>
      <c r="C94" s="8"/>
      <c r="D94" s="7">
        <v>2022</v>
      </c>
      <c r="E94" s="7">
        <v>6.46</v>
      </c>
      <c r="F94" s="12"/>
      <c r="G94" s="7"/>
      <c r="H94" s="137"/>
      <c r="I94" s="125">
        <v>81477.7</v>
      </c>
      <c r="J94" s="126"/>
      <c r="K94" s="45"/>
      <c r="L94" s="127"/>
      <c r="M94" s="183">
        <f t="shared" ref="M94:V94" si="125">M95+M96</f>
        <v>1477.7</v>
      </c>
      <c r="N94" s="177">
        <f t="shared" si="125"/>
        <v>0</v>
      </c>
      <c r="O94" s="129">
        <f t="shared" si="125"/>
        <v>0</v>
      </c>
      <c r="P94" s="183">
        <f t="shared" si="125"/>
        <v>0</v>
      </c>
      <c r="Q94" s="177">
        <f t="shared" si="125"/>
        <v>0</v>
      </c>
      <c r="R94" s="129"/>
      <c r="S94" s="183">
        <f t="shared" si="124"/>
        <v>0</v>
      </c>
      <c r="T94" s="177">
        <f t="shared" si="125"/>
        <v>79960</v>
      </c>
      <c r="U94" s="129">
        <f t="shared" si="125"/>
        <v>2522.3000000000002</v>
      </c>
      <c r="V94" s="183">
        <f t="shared" si="125"/>
        <v>82482.3</v>
      </c>
      <c r="W94" s="202"/>
      <c r="X94" s="130"/>
      <c r="Y94" s="220"/>
      <c r="Z94" s="178"/>
      <c r="AA94" s="112"/>
      <c r="AB94" s="184"/>
      <c r="AC94" s="178"/>
      <c r="AD94" s="112"/>
      <c r="AE94" s="184"/>
      <c r="AF94" s="178"/>
      <c r="AG94" s="2"/>
      <c r="AH94" s="96"/>
      <c r="AI94" s="264">
        <f>I94-M94-P94-S94-V94-Y94-AB94-AE94-AH94</f>
        <v>-2482.3000000000029</v>
      </c>
    </row>
    <row r="95" spans="1:36" ht="21" customHeight="1" x14ac:dyDescent="0.3">
      <c r="A95" s="59"/>
      <c r="B95" s="6" t="s">
        <v>35</v>
      </c>
      <c r="C95" s="8"/>
      <c r="D95" s="7"/>
      <c r="E95" s="7"/>
      <c r="F95" s="12"/>
      <c r="G95" s="7"/>
      <c r="H95" s="137"/>
      <c r="I95" s="125"/>
      <c r="J95" s="126"/>
      <c r="K95" s="45"/>
      <c r="L95" s="127"/>
      <c r="M95" s="183">
        <v>1477.7</v>
      </c>
      <c r="N95" s="177"/>
      <c r="O95" s="129"/>
      <c r="P95" s="183"/>
      <c r="Q95" s="188"/>
      <c r="R95" s="128"/>
      <c r="S95" s="183">
        <f t="shared" si="124"/>
        <v>0</v>
      </c>
      <c r="T95" s="192"/>
      <c r="U95" s="131"/>
      <c r="V95" s="207"/>
      <c r="W95" s="202"/>
      <c r="X95" s="130"/>
      <c r="Y95" s="220"/>
      <c r="Z95" s="178"/>
      <c r="AA95" s="112"/>
      <c r="AB95" s="184"/>
      <c r="AC95" s="178"/>
      <c r="AD95" s="112"/>
      <c r="AE95" s="184"/>
      <c r="AF95" s="178"/>
      <c r="AG95" s="2"/>
      <c r="AH95" s="96"/>
    </row>
    <row r="96" spans="1:36" ht="21" customHeight="1" thickBot="1" x14ac:dyDescent="0.35">
      <c r="A96" s="59"/>
      <c r="B96" s="6" t="s">
        <v>36</v>
      </c>
      <c r="C96" s="8"/>
      <c r="D96" s="7"/>
      <c r="E96" s="7"/>
      <c r="F96" s="12"/>
      <c r="G96" s="7"/>
      <c r="H96" s="137"/>
      <c r="I96" s="125"/>
      <c r="J96" s="126"/>
      <c r="K96" s="45"/>
      <c r="L96" s="127"/>
      <c r="M96" s="183"/>
      <c r="N96" s="177"/>
      <c r="O96" s="129"/>
      <c r="P96" s="183">
        <f>N96+O96</f>
        <v>0</v>
      </c>
      <c r="Q96" s="188"/>
      <c r="R96" s="128"/>
      <c r="S96" s="183">
        <f t="shared" si="124"/>
        <v>0</v>
      </c>
      <c r="T96" s="193">
        <v>79960</v>
      </c>
      <c r="U96" s="159">
        <v>2522.3000000000002</v>
      </c>
      <c r="V96" s="208">
        <f>T96+U96</f>
        <v>82482.3</v>
      </c>
      <c r="W96" s="202"/>
      <c r="X96" s="130"/>
      <c r="Y96" s="220"/>
      <c r="Z96" s="178"/>
      <c r="AA96" s="112"/>
      <c r="AB96" s="184"/>
      <c r="AC96" s="178"/>
      <c r="AD96" s="112"/>
      <c r="AE96" s="184"/>
      <c r="AF96" s="178"/>
      <c r="AG96" s="2"/>
      <c r="AH96" s="96"/>
    </row>
    <row r="97" spans="1:34" ht="60.75" customHeight="1" thickBot="1" x14ac:dyDescent="0.35">
      <c r="A97" s="59"/>
      <c r="B97" s="316" t="s">
        <v>60</v>
      </c>
      <c r="C97" s="8"/>
      <c r="D97" s="7">
        <v>2020</v>
      </c>
      <c r="E97" s="7"/>
      <c r="F97" s="12"/>
      <c r="G97" s="7" t="s">
        <v>64</v>
      </c>
      <c r="H97" s="137"/>
      <c r="I97" s="125">
        <v>9645.4</v>
      </c>
      <c r="J97" s="126"/>
      <c r="K97" s="45"/>
      <c r="L97" s="127"/>
      <c r="M97" s="183"/>
      <c r="N97" s="177">
        <f>N98+N99</f>
        <v>9645.4</v>
      </c>
      <c r="O97" s="129">
        <f>O98+O99</f>
        <v>0</v>
      </c>
      <c r="P97" s="183">
        <f>N97+O97</f>
        <v>9645.4</v>
      </c>
      <c r="Q97" s="188"/>
      <c r="R97" s="128"/>
      <c r="S97" s="183"/>
      <c r="T97" s="192"/>
      <c r="U97" s="131"/>
      <c r="V97" s="207"/>
      <c r="W97" s="202"/>
      <c r="X97" s="130"/>
      <c r="Y97" s="220"/>
      <c r="Z97" s="178"/>
      <c r="AA97" s="112"/>
      <c r="AB97" s="184"/>
      <c r="AC97" s="178"/>
      <c r="AD97" s="112"/>
      <c r="AE97" s="184"/>
      <c r="AF97" s="178"/>
      <c r="AG97" s="2"/>
      <c r="AH97" s="96"/>
    </row>
    <row r="98" spans="1:34" ht="21" customHeight="1" x14ac:dyDescent="0.3">
      <c r="A98" s="59"/>
      <c r="B98" s="6" t="s">
        <v>35</v>
      </c>
      <c r="C98" s="8"/>
      <c r="D98" s="7"/>
      <c r="E98" s="7"/>
      <c r="F98" s="12"/>
      <c r="G98" s="7"/>
      <c r="H98" s="137"/>
      <c r="I98" s="125"/>
      <c r="J98" s="126"/>
      <c r="K98" s="45"/>
      <c r="L98" s="127"/>
      <c r="M98" s="183"/>
      <c r="N98" s="177">
        <v>1645.4</v>
      </c>
      <c r="O98" s="129"/>
      <c r="P98" s="183">
        <f t="shared" ref="P98:P99" si="126">N98+O98</f>
        <v>1645.4</v>
      </c>
      <c r="Q98" s="188"/>
      <c r="R98" s="128"/>
      <c r="S98" s="183"/>
      <c r="T98" s="192"/>
      <c r="U98" s="131"/>
      <c r="V98" s="207"/>
      <c r="W98" s="202"/>
      <c r="X98" s="130"/>
      <c r="Y98" s="220"/>
      <c r="Z98" s="178"/>
      <c r="AA98" s="112"/>
      <c r="AB98" s="184"/>
      <c r="AC98" s="178"/>
      <c r="AD98" s="112"/>
      <c r="AE98" s="184"/>
      <c r="AF98" s="178"/>
      <c r="AG98" s="2"/>
      <c r="AH98" s="96"/>
    </row>
    <row r="99" spans="1:34" ht="21" customHeight="1" x14ac:dyDescent="0.3">
      <c r="A99" s="59"/>
      <c r="B99" s="6" t="s">
        <v>36</v>
      </c>
      <c r="C99" s="8"/>
      <c r="D99" s="7"/>
      <c r="E99" s="7"/>
      <c r="F99" s="12"/>
      <c r="G99" s="7"/>
      <c r="H99" s="137"/>
      <c r="I99" s="125"/>
      <c r="J99" s="126"/>
      <c r="K99" s="45"/>
      <c r="L99" s="127"/>
      <c r="M99" s="183"/>
      <c r="N99" s="177">
        <v>8000</v>
      </c>
      <c r="O99" s="129"/>
      <c r="P99" s="183">
        <f t="shared" si="126"/>
        <v>8000</v>
      </c>
      <c r="Q99" s="188"/>
      <c r="R99" s="128"/>
      <c r="S99" s="183"/>
      <c r="T99" s="192"/>
      <c r="U99" s="131"/>
      <c r="V99" s="207"/>
      <c r="W99" s="202"/>
      <c r="X99" s="130"/>
      <c r="Y99" s="220"/>
      <c r="Z99" s="178"/>
      <c r="AA99" s="112"/>
      <c r="AB99" s="184"/>
      <c r="AC99" s="178"/>
      <c r="AD99" s="112"/>
      <c r="AE99" s="184"/>
      <c r="AF99" s="178"/>
      <c r="AG99" s="2"/>
      <c r="AH99" s="96"/>
    </row>
    <row r="100" spans="1:34" ht="78.75" customHeight="1" x14ac:dyDescent="0.3">
      <c r="A100" s="59"/>
      <c r="B100" s="315" t="s">
        <v>61</v>
      </c>
      <c r="C100" s="8"/>
      <c r="D100" s="7">
        <v>2020</v>
      </c>
      <c r="E100" s="7"/>
      <c r="F100" s="12"/>
      <c r="G100" s="7" t="s">
        <v>65</v>
      </c>
      <c r="H100" s="137"/>
      <c r="I100" s="125">
        <v>4971.2</v>
      </c>
      <c r="J100" s="126"/>
      <c r="K100" s="45"/>
      <c r="L100" s="127"/>
      <c r="M100" s="183">
        <v>0</v>
      </c>
      <c r="N100" s="177">
        <f>N101+N102</f>
        <v>4412.6000000000004</v>
      </c>
      <c r="O100" s="129">
        <f>O101+O102</f>
        <v>0</v>
      </c>
      <c r="P100" s="183">
        <f>N100+O100</f>
        <v>4412.6000000000004</v>
      </c>
      <c r="Q100" s="188"/>
      <c r="R100" s="128"/>
      <c r="S100" s="183"/>
      <c r="T100" s="192"/>
      <c r="U100" s="131"/>
      <c r="V100" s="207"/>
      <c r="W100" s="202"/>
      <c r="X100" s="130"/>
      <c r="Y100" s="220"/>
      <c r="Z100" s="178"/>
      <c r="AA100" s="112"/>
      <c r="AB100" s="184"/>
      <c r="AC100" s="178"/>
      <c r="AD100" s="112"/>
      <c r="AE100" s="184"/>
      <c r="AF100" s="178"/>
      <c r="AG100" s="2"/>
      <c r="AH100" s="96"/>
    </row>
    <row r="101" spans="1:34" ht="21" customHeight="1" x14ac:dyDescent="0.3">
      <c r="A101" s="59"/>
      <c r="B101" s="6" t="s">
        <v>35</v>
      </c>
      <c r="C101" s="8"/>
      <c r="D101" s="7"/>
      <c r="E101" s="7"/>
      <c r="F101" s="12"/>
      <c r="G101" s="7"/>
      <c r="H101" s="137"/>
      <c r="I101" s="125"/>
      <c r="J101" s="126"/>
      <c r="K101" s="45"/>
      <c r="L101" s="127"/>
      <c r="M101" s="183">
        <v>0</v>
      </c>
      <c r="N101" s="177">
        <v>629.1</v>
      </c>
      <c r="O101" s="129"/>
      <c r="P101" s="183">
        <f t="shared" ref="P101:P102" si="127">N101+O101</f>
        <v>629.1</v>
      </c>
      <c r="Q101" s="188"/>
      <c r="R101" s="128"/>
      <c r="S101" s="183"/>
      <c r="T101" s="192"/>
      <c r="U101" s="131"/>
      <c r="V101" s="207"/>
      <c r="W101" s="202"/>
      <c r="X101" s="130"/>
      <c r="Y101" s="220"/>
      <c r="Z101" s="178"/>
      <c r="AA101" s="112"/>
      <c r="AB101" s="184"/>
      <c r="AC101" s="178"/>
      <c r="AD101" s="112"/>
      <c r="AE101" s="184"/>
      <c r="AF101" s="178"/>
      <c r="AG101" s="2"/>
      <c r="AH101" s="96"/>
    </row>
    <row r="102" spans="1:34" ht="21" customHeight="1" x14ac:dyDescent="0.3">
      <c r="A102" s="59"/>
      <c r="B102" s="6" t="s">
        <v>36</v>
      </c>
      <c r="C102" s="8"/>
      <c r="D102" s="7"/>
      <c r="E102" s="7"/>
      <c r="F102" s="12"/>
      <c r="G102" s="7"/>
      <c r="H102" s="137"/>
      <c r="I102" s="125"/>
      <c r="J102" s="126"/>
      <c r="K102" s="45"/>
      <c r="L102" s="127"/>
      <c r="M102" s="183">
        <v>0</v>
      </c>
      <c r="N102" s="177">
        <v>3783.5</v>
      </c>
      <c r="O102" s="129"/>
      <c r="P102" s="183">
        <f t="shared" si="127"/>
        <v>3783.5</v>
      </c>
      <c r="Q102" s="188"/>
      <c r="R102" s="128"/>
      <c r="S102" s="183"/>
      <c r="T102" s="192"/>
      <c r="U102" s="131"/>
      <c r="V102" s="207"/>
      <c r="W102" s="202"/>
      <c r="X102" s="130"/>
      <c r="Y102" s="220"/>
      <c r="Z102" s="178"/>
      <c r="AA102" s="112"/>
      <c r="AB102" s="184"/>
      <c r="AC102" s="178"/>
      <c r="AD102" s="112"/>
      <c r="AE102" s="184"/>
      <c r="AF102" s="178"/>
      <c r="AG102" s="2"/>
      <c r="AH102" s="96"/>
    </row>
    <row r="103" spans="1:34" ht="76.5" customHeight="1" x14ac:dyDescent="0.3">
      <c r="A103" s="59"/>
      <c r="B103" s="132" t="s">
        <v>62</v>
      </c>
      <c r="C103" s="8"/>
      <c r="D103" s="7">
        <v>2020</v>
      </c>
      <c r="E103" s="7"/>
      <c r="F103" s="12"/>
      <c r="G103" s="7" t="s">
        <v>65</v>
      </c>
      <c r="H103" s="137"/>
      <c r="I103" s="125">
        <v>4523.1000000000004</v>
      </c>
      <c r="J103" s="126"/>
      <c r="K103" s="45"/>
      <c r="L103" s="127"/>
      <c r="M103" s="183"/>
      <c r="N103" s="177">
        <f>N104+N105</f>
        <v>4523.1000000000004</v>
      </c>
      <c r="O103" s="129">
        <f>O104+O105</f>
        <v>0</v>
      </c>
      <c r="P103" s="183">
        <f>N103+O103</f>
        <v>4523.1000000000004</v>
      </c>
      <c r="Q103" s="188"/>
      <c r="R103" s="128"/>
      <c r="S103" s="183"/>
      <c r="T103" s="192"/>
      <c r="U103" s="131"/>
      <c r="V103" s="207"/>
      <c r="W103" s="202"/>
      <c r="X103" s="130"/>
      <c r="Y103" s="220"/>
      <c r="Z103" s="178"/>
      <c r="AA103" s="112"/>
      <c r="AB103" s="184"/>
      <c r="AC103" s="178"/>
      <c r="AD103" s="112"/>
      <c r="AE103" s="184"/>
      <c r="AF103" s="178"/>
      <c r="AG103" s="2"/>
      <c r="AH103" s="96"/>
    </row>
    <row r="104" spans="1:34" ht="21" customHeight="1" x14ac:dyDescent="0.3">
      <c r="A104" s="59"/>
      <c r="B104" s="6" t="s">
        <v>35</v>
      </c>
      <c r="C104" s="8"/>
      <c r="D104" s="7"/>
      <c r="E104" s="7"/>
      <c r="F104" s="12"/>
      <c r="G104" s="7"/>
      <c r="H104" s="137"/>
      <c r="I104" s="125"/>
      <c r="J104" s="126"/>
      <c r="K104" s="45"/>
      <c r="L104" s="127"/>
      <c r="M104" s="183"/>
      <c r="N104" s="177">
        <v>673.1</v>
      </c>
      <c r="O104" s="129"/>
      <c r="P104" s="183">
        <f t="shared" ref="P104:P105" si="128">N104+O104</f>
        <v>673.1</v>
      </c>
      <c r="Q104" s="188"/>
      <c r="R104" s="128"/>
      <c r="S104" s="183"/>
      <c r="T104" s="192"/>
      <c r="U104" s="131"/>
      <c r="V104" s="207"/>
      <c r="W104" s="202"/>
      <c r="X104" s="130"/>
      <c r="Y104" s="220"/>
      <c r="Z104" s="178"/>
      <c r="AA104" s="112"/>
      <c r="AB104" s="184"/>
      <c r="AC104" s="178"/>
      <c r="AD104" s="112"/>
      <c r="AE104" s="184"/>
      <c r="AF104" s="178"/>
      <c r="AG104" s="2"/>
      <c r="AH104" s="96"/>
    </row>
    <row r="105" spans="1:34" ht="21" customHeight="1" x14ac:dyDescent="0.3">
      <c r="A105" s="59"/>
      <c r="B105" s="6" t="s">
        <v>36</v>
      </c>
      <c r="C105" s="8"/>
      <c r="D105" s="7"/>
      <c r="E105" s="7"/>
      <c r="F105" s="12"/>
      <c r="G105" s="7"/>
      <c r="H105" s="137"/>
      <c r="I105" s="125"/>
      <c r="J105" s="126"/>
      <c r="K105" s="45"/>
      <c r="L105" s="127"/>
      <c r="M105" s="183"/>
      <c r="N105" s="177">
        <v>3850</v>
      </c>
      <c r="O105" s="129"/>
      <c r="P105" s="183">
        <f t="shared" si="128"/>
        <v>3850</v>
      </c>
      <c r="Q105" s="188"/>
      <c r="R105" s="128"/>
      <c r="S105" s="183"/>
      <c r="T105" s="192"/>
      <c r="U105" s="131"/>
      <c r="V105" s="207"/>
      <c r="W105" s="202"/>
      <c r="X105" s="130"/>
      <c r="Y105" s="220"/>
      <c r="Z105" s="178"/>
      <c r="AA105" s="112"/>
      <c r="AB105" s="184"/>
      <c r="AC105" s="178"/>
      <c r="AD105" s="112"/>
      <c r="AE105" s="184"/>
      <c r="AF105" s="178"/>
      <c r="AG105" s="2"/>
      <c r="AH105" s="96"/>
    </row>
    <row r="106" spans="1:34" ht="93" customHeight="1" x14ac:dyDescent="0.3">
      <c r="A106" s="59"/>
      <c r="B106" s="132" t="s">
        <v>58</v>
      </c>
      <c r="C106" s="8"/>
      <c r="D106" s="7">
        <v>2021</v>
      </c>
      <c r="E106" s="7"/>
      <c r="F106" s="12"/>
      <c r="G106" s="7" t="s">
        <v>71</v>
      </c>
      <c r="H106" s="137"/>
      <c r="I106" s="125">
        <v>19453</v>
      </c>
      <c r="J106" s="126"/>
      <c r="K106" s="45"/>
      <c r="L106" s="127"/>
      <c r="M106" s="183"/>
      <c r="N106" s="177">
        <f>N107+N108</f>
        <v>1913</v>
      </c>
      <c r="O106" s="129">
        <f>O107+O108</f>
        <v>0</v>
      </c>
      <c r="P106" s="183">
        <f>N106+O106</f>
        <v>1913</v>
      </c>
      <c r="Q106" s="177">
        <f>Q107+Q108</f>
        <v>17540</v>
      </c>
      <c r="R106" s="129">
        <f t="shared" ref="R106:S106" si="129">R107+R108</f>
        <v>0</v>
      </c>
      <c r="S106" s="292">
        <f t="shared" si="129"/>
        <v>17540</v>
      </c>
      <c r="T106" s="192"/>
      <c r="U106" s="131"/>
      <c r="V106" s="207"/>
      <c r="W106" s="202"/>
      <c r="X106" s="130"/>
      <c r="Y106" s="220"/>
      <c r="Z106" s="178"/>
      <c r="AA106" s="112"/>
      <c r="AB106" s="184"/>
      <c r="AC106" s="178"/>
      <c r="AD106" s="112"/>
      <c r="AE106" s="184"/>
      <c r="AF106" s="178"/>
      <c r="AG106" s="2"/>
      <c r="AH106" s="96"/>
    </row>
    <row r="107" spans="1:34" ht="21" customHeight="1" x14ac:dyDescent="0.3">
      <c r="A107" s="59"/>
      <c r="B107" s="6" t="s">
        <v>35</v>
      </c>
      <c r="C107" s="8"/>
      <c r="D107" s="7"/>
      <c r="E107" s="7"/>
      <c r="F107" s="12"/>
      <c r="G107" s="7"/>
      <c r="H107" s="137"/>
      <c r="I107" s="125"/>
      <c r="J107" s="126"/>
      <c r="K107" s="45"/>
      <c r="L107" s="127"/>
      <c r="M107" s="183"/>
      <c r="N107" s="177">
        <f>1953-40</f>
        <v>1913</v>
      </c>
      <c r="O107" s="129"/>
      <c r="P107" s="183">
        <f t="shared" ref="P107:P108" si="130">N107+O107</f>
        <v>1913</v>
      </c>
      <c r="Q107" s="177">
        <v>40</v>
      </c>
      <c r="R107" s="129"/>
      <c r="S107" s="183">
        <f>Q107+R107</f>
        <v>40</v>
      </c>
      <c r="T107" s="192"/>
      <c r="U107" s="131"/>
      <c r="V107" s="207"/>
      <c r="W107" s="202"/>
      <c r="X107" s="130"/>
      <c r="Y107" s="220"/>
      <c r="Z107" s="178"/>
      <c r="AA107" s="112"/>
      <c r="AB107" s="184"/>
      <c r="AC107" s="178"/>
      <c r="AD107" s="112"/>
      <c r="AE107" s="184"/>
      <c r="AF107" s="178"/>
      <c r="AG107" s="2"/>
      <c r="AH107" s="96"/>
    </row>
    <row r="108" spans="1:34" ht="21" customHeight="1" thickBot="1" x14ac:dyDescent="0.35">
      <c r="A108" s="59"/>
      <c r="B108" s="6" t="s">
        <v>36</v>
      </c>
      <c r="C108" s="8"/>
      <c r="D108" s="7"/>
      <c r="E108" s="7"/>
      <c r="F108" s="12"/>
      <c r="G108" s="7"/>
      <c r="H108" s="137"/>
      <c r="I108" s="125"/>
      <c r="J108" s="126"/>
      <c r="K108" s="45"/>
      <c r="L108" s="127"/>
      <c r="M108" s="183"/>
      <c r="N108" s="177">
        <f>17500-17500</f>
        <v>0</v>
      </c>
      <c r="O108" s="129"/>
      <c r="P108" s="183">
        <f t="shared" si="130"/>
        <v>0</v>
      </c>
      <c r="Q108" s="177">
        <v>17500</v>
      </c>
      <c r="R108" s="129"/>
      <c r="S108" s="183">
        <f>Q108+R108</f>
        <v>17500</v>
      </c>
      <c r="T108" s="192"/>
      <c r="U108" s="131"/>
      <c r="V108" s="207"/>
      <c r="W108" s="202"/>
      <c r="X108" s="130"/>
      <c r="Y108" s="220"/>
      <c r="Z108" s="178"/>
      <c r="AA108" s="112"/>
      <c r="AB108" s="184"/>
      <c r="AC108" s="178"/>
      <c r="AD108" s="112"/>
      <c r="AE108" s="184"/>
      <c r="AF108" s="178"/>
      <c r="AG108" s="2"/>
      <c r="AH108" s="96"/>
    </row>
    <row r="109" spans="1:34" ht="93" customHeight="1" thickBot="1" x14ac:dyDescent="0.35">
      <c r="A109" s="59"/>
      <c r="B109" s="247" t="s">
        <v>81</v>
      </c>
      <c r="C109" s="8"/>
      <c r="D109" s="7">
        <v>2021</v>
      </c>
      <c r="E109" s="7"/>
      <c r="F109" s="12"/>
      <c r="G109" s="7"/>
      <c r="H109" s="137"/>
      <c r="I109" s="125">
        <v>4955</v>
      </c>
      <c r="J109" s="126"/>
      <c r="K109" s="45"/>
      <c r="L109" s="127"/>
      <c r="M109" s="183"/>
      <c r="N109" s="177"/>
      <c r="O109" s="129"/>
      <c r="P109" s="183"/>
      <c r="Q109" s="188">
        <f>Q110+Q111</f>
        <v>0</v>
      </c>
      <c r="R109" s="188">
        <f t="shared" ref="R109:S109" si="131">R110+R111</f>
        <v>4955</v>
      </c>
      <c r="S109" s="250">
        <f t="shared" si="131"/>
        <v>4955</v>
      </c>
      <c r="T109" s="192"/>
      <c r="U109" s="131"/>
      <c r="V109" s="207"/>
      <c r="W109" s="202"/>
      <c r="X109" s="202"/>
      <c r="Y109" s="220"/>
      <c r="Z109" s="178"/>
      <c r="AA109" s="178"/>
      <c r="AB109" s="184"/>
      <c r="AC109" s="178"/>
      <c r="AD109" s="112"/>
      <c r="AE109" s="184"/>
      <c r="AF109" s="178"/>
      <c r="AG109" s="2"/>
      <c r="AH109" s="96"/>
    </row>
    <row r="110" spans="1:34" ht="21" customHeight="1" x14ac:dyDescent="0.3">
      <c r="A110" s="59"/>
      <c r="B110" s="26" t="s">
        <v>22</v>
      </c>
      <c r="C110" s="27"/>
      <c r="D110" s="28"/>
      <c r="E110" s="28"/>
      <c r="F110" s="34"/>
      <c r="G110" s="28"/>
      <c r="H110" s="138"/>
      <c r="I110" s="272"/>
      <c r="J110" s="273"/>
      <c r="K110" s="274"/>
      <c r="L110" s="275"/>
      <c r="M110" s="276"/>
      <c r="N110" s="277"/>
      <c r="O110" s="278"/>
      <c r="P110" s="276"/>
      <c r="Q110" s="279"/>
      <c r="R110" s="278"/>
      <c r="S110" s="276"/>
      <c r="T110" s="280"/>
      <c r="U110" s="281"/>
      <c r="V110" s="282"/>
      <c r="W110" s="283"/>
      <c r="X110" s="283"/>
      <c r="Y110" s="284"/>
      <c r="Z110" s="198"/>
      <c r="AA110" s="198"/>
      <c r="AB110" s="216"/>
      <c r="AC110" s="198"/>
      <c r="AD110" s="113"/>
      <c r="AE110" s="216"/>
      <c r="AF110" s="198"/>
      <c r="AG110" s="232"/>
      <c r="AH110" s="235"/>
    </row>
    <row r="111" spans="1:34" ht="21" customHeight="1" x14ac:dyDescent="0.3">
      <c r="A111" s="59"/>
      <c r="B111" s="6" t="s">
        <v>23</v>
      </c>
      <c r="C111" s="8"/>
      <c r="D111" s="7"/>
      <c r="E111" s="7"/>
      <c r="F111" s="12"/>
      <c r="G111" s="7"/>
      <c r="H111" s="137"/>
      <c r="I111" s="125"/>
      <c r="J111" s="126"/>
      <c r="K111" s="45"/>
      <c r="L111" s="127"/>
      <c r="M111" s="183"/>
      <c r="N111" s="177"/>
      <c r="O111" s="129"/>
      <c r="P111" s="183"/>
      <c r="Q111" s="188">
        <f>Q112+Q113</f>
        <v>0</v>
      </c>
      <c r="R111" s="188">
        <f t="shared" ref="R111:S111" si="132">R112+R113</f>
        <v>4955</v>
      </c>
      <c r="S111" s="250">
        <f t="shared" si="132"/>
        <v>4955</v>
      </c>
      <c r="T111" s="192"/>
      <c r="U111" s="131"/>
      <c r="V111" s="207"/>
      <c r="W111" s="202"/>
      <c r="X111" s="202"/>
      <c r="Y111" s="220"/>
      <c r="Z111" s="178"/>
      <c r="AA111" s="178"/>
      <c r="AB111" s="184"/>
      <c r="AC111" s="178"/>
      <c r="AD111" s="112"/>
      <c r="AE111" s="184"/>
      <c r="AF111" s="178"/>
      <c r="AG111" s="2"/>
      <c r="AH111" s="96"/>
    </row>
    <row r="112" spans="1:34" ht="21" customHeight="1" x14ac:dyDescent="0.3">
      <c r="A112" s="59"/>
      <c r="B112" s="6" t="s">
        <v>35</v>
      </c>
      <c r="C112" s="8"/>
      <c r="D112" s="7"/>
      <c r="E112" s="7"/>
      <c r="F112" s="12"/>
      <c r="G112" s="7"/>
      <c r="H112" s="137"/>
      <c r="I112" s="125"/>
      <c r="J112" s="126"/>
      <c r="K112" s="45"/>
      <c r="L112" s="127"/>
      <c r="M112" s="183"/>
      <c r="N112" s="177"/>
      <c r="O112" s="129"/>
      <c r="P112" s="183"/>
      <c r="Q112" s="188"/>
      <c r="R112" s="128">
        <v>715</v>
      </c>
      <c r="S112" s="250">
        <f>Q112+R112</f>
        <v>715</v>
      </c>
      <c r="T112" s="192"/>
      <c r="U112" s="131"/>
      <c r="V112" s="207"/>
      <c r="W112" s="202"/>
      <c r="X112" s="202"/>
      <c r="Y112" s="220"/>
      <c r="Z112" s="178"/>
      <c r="AA112" s="178"/>
      <c r="AB112" s="184"/>
      <c r="AC112" s="178"/>
      <c r="AD112" s="112"/>
      <c r="AE112" s="184"/>
      <c r="AF112" s="178"/>
      <c r="AG112" s="2"/>
      <c r="AH112" s="96"/>
    </row>
    <row r="113" spans="1:35" ht="21" customHeight="1" x14ac:dyDescent="0.3">
      <c r="A113" s="59"/>
      <c r="B113" s="6" t="s">
        <v>44</v>
      </c>
      <c r="C113" s="8"/>
      <c r="D113" s="7"/>
      <c r="E113" s="7"/>
      <c r="F113" s="12"/>
      <c r="G113" s="7"/>
      <c r="H113" s="137"/>
      <c r="I113" s="125"/>
      <c r="J113" s="126"/>
      <c r="K113" s="45"/>
      <c r="L113" s="127"/>
      <c r="M113" s="183"/>
      <c r="N113" s="177"/>
      <c r="O113" s="129"/>
      <c r="P113" s="183"/>
      <c r="Q113" s="188"/>
      <c r="R113" s="128">
        <v>4240</v>
      </c>
      <c r="S113" s="250">
        <f>Q113+R113</f>
        <v>4240</v>
      </c>
      <c r="T113" s="192"/>
      <c r="U113" s="131"/>
      <c r="V113" s="207"/>
      <c r="W113" s="202"/>
      <c r="X113" s="202"/>
      <c r="Y113" s="220"/>
      <c r="Z113" s="178"/>
      <c r="AA113" s="178"/>
      <c r="AB113" s="184"/>
      <c r="AC113" s="178"/>
      <c r="AD113" s="112"/>
      <c r="AE113" s="184"/>
      <c r="AF113" s="178"/>
      <c r="AG113" s="2"/>
      <c r="AH113" s="96"/>
    </row>
    <row r="114" spans="1:35" ht="93" customHeight="1" thickBot="1" x14ac:dyDescent="0.35">
      <c r="A114" s="59"/>
      <c r="B114" s="248" t="s">
        <v>82</v>
      </c>
      <c r="C114" s="8"/>
      <c r="D114" s="7">
        <v>2021</v>
      </c>
      <c r="E114" s="7"/>
      <c r="F114" s="12"/>
      <c r="G114" s="7"/>
      <c r="H114" s="137"/>
      <c r="I114" s="125">
        <v>4985</v>
      </c>
      <c r="J114" s="126"/>
      <c r="K114" s="45"/>
      <c r="L114" s="127"/>
      <c r="M114" s="183"/>
      <c r="N114" s="177"/>
      <c r="O114" s="129"/>
      <c r="P114" s="183"/>
      <c r="Q114" s="188">
        <f>Q115+Q116</f>
        <v>0</v>
      </c>
      <c r="R114" s="188">
        <f t="shared" ref="R114" si="133">R115+R116</f>
        <v>4985</v>
      </c>
      <c r="S114" s="250">
        <f t="shared" ref="S114" si="134">S115+S116</f>
        <v>4985</v>
      </c>
      <c r="T114" s="192"/>
      <c r="U114" s="131"/>
      <c r="V114" s="207"/>
      <c r="W114" s="202"/>
      <c r="X114" s="202"/>
      <c r="Y114" s="220"/>
      <c r="Z114" s="178"/>
      <c r="AA114" s="178"/>
      <c r="AB114" s="184"/>
      <c r="AC114" s="178"/>
      <c r="AD114" s="112"/>
      <c r="AE114" s="184"/>
      <c r="AF114" s="178"/>
      <c r="AG114" s="2"/>
      <c r="AH114" s="96"/>
    </row>
    <row r="115" spans="1:35" ht="21" customHeight="1" x14ac:dyDescent="0.3">
      <c r="A115" s="59"/>
      <c r="B115" s="26" t="s">
        <v>22</v>
      </c>
      <c r="C115" s="27"/>
      <c r="D115" s="28"/>
      <c r="E115" s="28"/>
      <c r="F115" s="34"/>
      <c r="G115" s="28"/>
      <c r="H115" s="138"/>
      <c r="I115" s="272"/>
      <c r="J115" s="273"/>
      <c r="K115" s="274"/>
      <c r="L115" s="275"/>
      <c r="M115" s="276"/>
      <c r="N115" s="277"/>
      <c r="O115" s="278"/>
      <c r="P115" s="276"/>
      <c r="Q115" s="279"/>
      <c r="R115" s="278"/>
      <c r="S115" s="276"/>
      <c r="T115" s="280"/>
      <c r="U115" s="281"/>
      <c r="V115" s="282"/>
      <c r="W115" s="283"/>
      <c r="X115" s="283"/>
      <c r="Y115" s="284"/>
      <c r="Z115" s="198"/>
      <c r="AA115" s="198"/>
      <c r="AB115" s="216"/>
      <c r="AC115" s="198"/>
      <c r="AD115" s="113"/>
      <c r="AE115" s="216"/>
      <c r="AF115" s="198"/>
      <c r="AG115" s="232"/>
      <c r="AH115" s="235"/>
    </row>
    <row r="116" spans="1:35" ht="21" customHeight="1" x14ac:dyDescent="0.3">
      <c r="A116" s="59"/>
      <c r="B116" s="6" t="s">
        <v>23</v>
      </c>
      <c r="C116" s="8"/>
      <c r="D116" s="7"/>
      <c r="E116" s="7"/>
      <c r="F116" s="12"/>
      <c r="G116" s="7"/>
      <c r="H116" s="137"/>
      <c r="I116" s="125"/>
      <c r="J116" s="126"/>
      <c r="K116" s="45"/>
      <c r="L116" s="127"/>
      <c r="M116" s="183"/>
      <c r="N116" s="177"/>
      <c r="O116" s="129"/>
      <c r="P116" s="183"/>
      <c r="Q116" s="188">
        <f>Q117+Q118</f>
        <v>0</v>
      </c>
      <c r="R116" s="188">
        <f t="shared" ref="R116" si="135">R117+R118</f>
        <v>4985</v>
      </c>
      <c r="S116" s="250">
        <f t="shared" ref="S116" si="136">S117+S118</f>
        <v>4985</v>
      </c>
      <c r="T116" s="192"/>
      <c r="U116" s="131"/>
      <c r="V116" s="207"/>
      <c r="W116" s="202"/>
      <c r="X116" s="202"/>
      <c r="Y116" s="220"/>
      <c r="Z116" s="178"/>
      <c r="AA116" s="178"/>
      <c r="AB116" s="184"/>
      <c r="AC116" s="178"/>
      <c r="AD116" s="112"/>
      <c r="AE116" s="184"/>
      <c r="AF116" s="178"/>
      <c r="AG116" s="2"/>
      <c r="AH116" s="96"/>
    </row>
    <row r="117" spans="1:35" ht="21" customHeight="1" x14ac:dyDescent="0.3">
      <c r="A117" s="59"/>
      <c r="B117" s="6" t="s">
        <v>35</v>
      </c>
      <c r="C117" s="8"/>
      <c r="D117" s="7"/>
      <c r="E117" s="7"/>
      <c r="F117" s="12"/>
      <c r="G117" s="7"/>
      <c r="H117" s="137"/>
      <c r="I117" s="125"/>
      <c r="J117" s="126"/>
      <c r="K117" s="45"/>
      <c r="L117" s="127"/>
      <c r="M117" s="183"/>
      <c r="N117" s="177"/>
      <c r="O117" s="129"/>
      <c r="P117" s="183"/>
      <c r="Q117" s="188"/>
      <c r="R117" s="128">
        <v>725</v>
      </c>
      <c r="S117" s="250">
        <f>Q117+R117</f>
        <v>725</v>
      </c>
      <c r="T117" s="192"/>
      <c r="U117" s="131"/>
      <c r="V117" s="207"/>
      <c r="W117" s="202"/>
      <c r="X117" s="202"/>
      <c r="Y117" s="220"/>
      <c r="Z117" s="178"/>
      <c r="AA117" s="178"/>
      <c r="AB117" s="184"/>
      <c r="AC117" s="178"/>
      <c r="AD117" s="112"/>
      <c r="AE117" s="184"/>
      <c r="AF117" s="178"/>
      <c r="AG117" s="2"/>
      <c r="AH117" s="96"/>
    </row>
    <row r="118" spans="1:35" ht="21" customHeight="1" x14ac:dyDescent="0.3">
      <c r="A118" s="59"/>
      <c r="B118" s="6" t="s">
        <v>44</v>
      </c>
      <c r="C118" s="8"/>
      <c r="D118" s="7"/>
      <c r="E118" s="7"/>
      <c r="F118" s="12"/>
      <c r="G118" s="7"/>
      <c r="H118" s="137"/>
      <c r="I118" s="125"/>
      <c r="J118" s="126"/>
      <c r="K118" s="45"/>
      <c r="L118" s="127"/>
      <c r="M118" s="183"/>
      <c r="N118" s="177"/>
      <c r="O118" s="129"/>
      <c r="P118" s="183"/>
      <c r="Q118" s="188"/>
      <c r="R118" s="128">
        <v>4260</v>
      </c>
      <c r="S118" s="250">
        <f>Q118+R118</f>
        <v>4260</v>
      </c>
      <c r="T118" s="192"/>
      <c r="U118" s="131"/>
      <c r="V118" s="207"/>
      <c r="W118" s="202"/>
      <c r="X118" s="202"/>
      <c r="Y118" s="220"/>
      <c r="Z118" s="178"/>
      <c r="AA118" s="178"/>
      <c r="AB118" s="184"/>
      <c r="AC118" s="178"/>
      <c r="AD118" s="112"/>
      <c r="AE118" s="184"/>
      <c r="AF118" s="178"/>
      <c r="AG118" s="2"/>
      <c r="AH118" s="96"/>
    </row>
    <row r="119" spans="1:35" ht="90.75" customHeight="1" x14ac:dyDescent="0.3">
      <c r="A119" s="59"/>
      <c r="B119" s="249" t="s">
        <v>100</v>
      </c>
      <c r="C119" s="8"/>
      <c r="D119" s="7">
        <v>2021</v>
      </c>
      <c r="E119" s="7"/>
      <c r="F119" s="12"/>
      <c r="G119" s="7"/>
      <c r="H119" s="137"/>
      <c r="I119" s="125">
        <v>4990</v>
      </c>
      <c r="J119" s="126"/>
      <c r="K119" s="45"/>
      <c r="L119" s="127"/>
      <c r="M119" s="183"/>
      <c r="N119" s="177"/>
      <c r="O119" s="129"/>
      <c r="P119" s="183"/>
      <c r="Q119" s="188">
        <f>Q120+Q121</f>
        <v>0</v>
      </c>
      <c r="R119" s="188">
        <f t="shared" ref="R119" si="137">R120+R121</f>
        <v>4990</v>
      </c>
      <c r="S119" s="250">
        <f t="shared" ref="S119" si="138">S120+S121</f>
        <v>4990</v>
      </c>
      <c r="T119" s="192"/>
      <c r="U119" s="131"/>
      <c r="V119" s="207"/>
      <c r="W119" s="202"/>
      <c r="X119" s="202"/>
      <c r="Y119" s="220"/>
      <c r="Z119" s="178"/>
      <c r="AA119" s="178"/>
      <c r="AB119" s="184"/>
      <c r="AC119" s="178"/>
      <c r="AD119" s="112"/>
      <c r="AE119" s="184"/>
      <c r="AF119" s="178"/>
      <c r="AG119" s="2"/>
      <c r="AH119" s="96"/>
    </row>
    <row r="120" spans="1:35" ht="21" customHeight="1" x14ac:dyDescent="0.3">
      <c r="A120" s="59"/>
      <c r="B120" s="26" t="s">
        <v>22</v>
      </c>
      <c r="C120" s="27"/>
      <c r="D120" s="28"/>
      <c r="E120" s="28"/>
      <c r="F120" s="34"/>
      <c r="G120" s="28"/>
      <c r="H120" s="138"/>
      <c r="I120" s="272"/>
      <c r="J120" s="273"/>
      <c r="K120" s="274"/>
      <c r="L120" s="275"/>
      <c r="M120" s="276"/>
      <c r="N120" s="277"/>
      <c r="O120" s="278"/>
      <c r="P120" s="276"/>
      <c r="Q120" s="279"/>
      <c r="R120" s="278"/>
      <c r="S120" s="276"/>
      <c r="T120" s="280"/>
      <c r="U120" s="281"/>
      <c r="V120" s="282"/>
      <c r="W120" s="283"/>
      <c r="X120" s="283"/>
      <c r="Y120" s="284"/>
      <c r="Z120" s="198"/>
      <c r="AA120" s="198"/>
      <c r="AB120" s="216"/>
      <c r="AC120" s="198"/>
      <c r="AD120" s="113"/>
      <c r="AE120" s="216"/>
      <c r="AF120" s="198"/>
      <c r="AG120" s="232"/>
      <c r="AH120" s="235"/>
    </row>
    <row r="121" spans="1:35" ht="21" customHeight="1" x14ac:dyDescent="0.3">
      <c r="A121" s="59"/>
      <c r="B121" s="6" t="s">
        <v>23</v>
      </c>
      <c r="C121" s="8"/>
      <c r="D121" s="7"/>
      <c r="E121" s="7"/>
      <c r="F121" s="12"/>
      <c r="G121" s="7"/>
      <c r="H121" s="137"/>
      <c r="I121" s="125"/>
      <c r="J121" s="126"/>
      <c r="K121" s="45"/>
      <c r="L121" s="127"/>
      <c r="M121" s="183"/>
      <c r="N121" s="177"/>
      <c r="O121" s="129"/>
      <c r="P121" s="183"/>
      <c r="Q121" s="188">
        <f>Q122+Q123</f>
        <v>0</v>
      </c>
      <c r="R121" s="188">
        <f t="shared" ref="R121" si="139">R122+R123</f>
        <v>4990</v>
      </c>
      <c r="S121" s="250">
        <f t="shared" ref="S121" si="140">S122+S123</f>
        <v>4990</v>
      </c>
      <c r="T121" s="192"/>
      <c r="U121" s="131"/>
      <c r="V121" s="207"/>
      <c r="W121" s="202"/>
      <c r="X121" s="202"/>
      <c r="Y121" s="220"/>
      <c r="Z121" s="178"/>
      <c r="AA121" s="178"/>
      <c r="AB121" s="184"/>
      <c r="AC121" s="178"/>
      <c r="AD121" s="112"/>
      <c r="AE121" s="184"/>
      <c r="AF121" s="178"/>
      <c r="AG121" s="2"/>
      <c r="AH121" s="96"/>
    </row>
    <row r="122" spans="1:35" ht="21" customHeight="1" x14ac:dyDescent="0.3">
      <c r="A122" s="59"/>
      <c r="B122" s="6" t="s">
        <v>35</v>
      </c>
      <c r="C122" s="8"/>
      <c r="D122" s="7"/>
      <c r="E122" s="7"/>
      <c r="F122" s="12"/>
      <c r="G122" s="7"/>
      <c r="H122" s="137"/>
      <c r="I122" s="125"/>
      <c r="J122" s="126"/>
      <c r="K122" s="45"/>
      <c r="L122" s="127"/>
      <c r="M122" s="183"/>
      <c r="N122" s="177"/>
      <c r="O122" s="129"/>
      <c r="P122" s="183"/>
      <c r="Q122" s="188"/>
      <c r="R122" s="128">
        <v>740</v>
      </c>
      <c r="S122" s="250">
        <f>Q122+R122</f>
        <v>740</v>
      </c>
      <c r="T122" s="192"/>
      <c r="U122" s="131"/>
      <c r="V122" s="207"/>
      <c r="W122" s="202"/>
      <c r="X122" s="202"/>
      <c r="Y122" s="220"/>
      <c r="Z122" s="178"/>
      <c r="AA122" s="178"/>
      <c r="AB122" s="184"/>
      <c r="AC122" s="178"/>
      <c r="AD122" s="112"/>
      <c r="AE122" s="184"/>
      <c r="AF122" s="178"/>
      <c r="AG122" s="2"/>
      <c r="AH122" s="96"/>
    </row>
    <row r="123" spans="1:35" ht="21" customHeight="1" x14ac:dyDescent="0.3">
      <c r="A123" s="59"/>
      <c r="B123" s="6" t="s">
        <v>44</v>
      </c>
      <c r="C123" s="8"/>
      <c r="D123" s="7"/>
      <c r="E123" s="7"/>
      <c r="F123" s="12"/>
      <c r="G123" s="7"/>
      <c r="H123" s="137"/>
      <c r="I123" s="125"/>
      <c r="J123" s="126"/>
      <c r="K123" s="45"/>
      <c r="L123" s="127"/>
      <c r="M123" s="183"/>
      <c r="N123" s="177"/>
      <c r="O123" s="129"/>
      <c r="P123" s="183"/>
      <c r="Q123" s="188"/>
      <c r="R123" s="128">
        <v>4250</v>
      </c>
      <c r="S123" s="250">
        <f>Q123+R123</f>
        <v>4250</v>
      </c>
      <c r="T123" s="192"/>
      <c r="U123" s="131"/>
      <c r="V123" s="207"/>
      <c r="W123" s="202"/>
      <c r="X123" s="202"/>
      <c r="Y123" s="220"/>
      <c r="Z123" s="178"/>
      <c r="AA123" s="178"/>
      <c r="AB123" s="184"/>
      <c r="AC123" s="178"/>
      <c r="AD123" s="112"/>
      <c r="AE123" s="184"/>
      <c r="AF123" s="178"/>
      <c r="AG123" s="2"/>
      <c r="AH123" s="96"/>
    </row>
    <row r="124" spans="1:35" s="158" customFormat="1" ht="121.5" customHeight="1" x14ac:dyDescent="0.3">
      <c r="A124" s="157">
        <v>46</v>
      </c>
      <c r="B124" s="43" t="s">
        <v>80</v>
      </c>
      <c r="C124" s="46"/>
      <c r="D124" s="14">
        <v>2026</v>
      </c>
      <c r="E124" s="244">
        <v>12</v>
      </c>
      <c r="F124" s="243">
        <v>550</v>
      </c>
      <c r="G124" s="14">
        <v>12.55</v>
      </c>
      <c r="H124" s="140"/>
      <c r="I124" s="91">
        <v>4890055</v>
      </c>
      <c r="J124" s="243">
        <v>12</v>
      </c>
      <c r="K124" s="243">
        <v>550</v>
      </c>
      <c r="L124" s="48">
        <v>3715000</v>
      </c>
      <c r="M124" s="91">
        <v>0</v>
      </c>
      <c r="N124" s="84"/>
      <c r="O124" s="48"/>
      <c r="P124" s="91">
        <f>N124+O124</f>
        <v>0</v>
      </c>
      <c r="Q124" s="84"/>
      <c r="R124" s="48"/>
      <c r="S124" s="91">
        <f>Q124+R124</f>
        <v>0</v>
      </c>
      <c r="T124" s="190"/>
      <c r="U124" s="50"/>
      <c r="V124" s="204"/>
      <c r="W124" s="190">
        <f>W125+W126</f>
        <v>1200000</v>
      </c>
      <c r="X124" s="190">
        <f t="shared" ref="X124:Y124" si="141">X125+X126</f>
        <v>-1187168.3</v>
      </c>
      <c r="Y124" s="204">
        <f t="shared" si="141"/>
        <v>12831.7</v>
      </c>
      <c r="Z124" s="190">
        <f>Z125+Z126</f>
        <v>1315000</v>
      </c>
      <c r="AA124" s="190">
        <f t="shared" ref="AA124:AB124" si="142">AA125+AA126</f>
        <v>-1262858.2</v>
      </c>
      <c r="AB124" s="204">
        <f t="shared" si="142"/>
        <v>52141.8</v>
      </c>
      <c r="AC124" s="190">
        <f>AC125+AC126</f>
        <v>1200000</v>
      </c>
      <c r="AD124" s="190">
        <f t="shared" ref="AD124:AE124" si="143">AD125+AD126</f>
        <v>1000000</v>
      </c>
      <c r="AE124" s="204">
        <f t="shared" si="143"/>
        <v>2200000</v>
      </c>
      <c r="AF124" s="269">
        <f>AF125+AF126</f>
        <v>0</v>
      </c>
      <c r="AG124" s="269">
        <f t="shared" ref="AG124:AH124" si="144">AG125+AG126</f>
        <v>2625081.5</v>
      </c>
      <c r="AH124" s="288">
        <f t="shared" si="144"/>
        <v>2625081.5</v>
      </c>
      <c r="AI124" s="265">
        <f>I124-M124-P124-S124-V124-Y124-AB124-AE124-AH124</f>
        <v>0</v>
      </c>
    </row>
    <row r="125" spans="1:35" s="158" customFormat="1" ht="28.5" customHeight="1" x14ac:dyDescent="0.3">
      <c r="A125" s="157"/>
      <c r="B125" s="26" t="s">
        <v>22</v>
      </c>
      <c r="C125" s="33"/>
      <c r="D125" s="28"/>
      <c r="E125" s="266"/>
      <c r="F125" s="245"/>
      <c r="G125" s="28"/>
      <c r="H125" s="138"/>
      <c r="I125" s="92"/>
      <c r="J125" s="245"/>
      <c r="K125" s="245"/>
      <c r="L125" s="35"/>
      <c r="M125" s="92"/>
      <c r="N125" s="85"/>
      <c r="O125" s="35"/>
      <c r="P125" s="92"/>
      <c r="Q125" s="85"/>
      <c r="R125" s="35"/>
      <c r="S125" s="92"/>
      <c r="T125" s="189"/>
      <c r="U125" s="37"/>
      <c r="V125" s="203"/>
      <c r="W125" s="189">
        <f>W128</f>
        <v>1200000</v>
      </c>
      <c r="X125" s="189">
        <f t="shared" ref="X125:Y125" si="145">X128</f>
        <v>-1200000</v>
      </c>
      <c r="Y125" s="203">
        <f t="shared" si="145"/>
        <v>0</v>
      </c>
      <c r="Z125" s="189">
        <f>Z128</f>
        <v>1315000</v>
      </c>
      <c r="AA125" s="189">
        <f t="shared" ref="AA125:AB125" si="146">AA128</f>
        <v>-1315000</v>
      </c>
      <c r="AB125" s="203">
        <f t="shared" si="146"/>
        <v>0</v>
      </c>
      <c r="AC125" s="189">
        <f>AC128</f>
        <v>1200000</v>
      </c>
      <c r="AD125" s="189">
        <f t="shared" ref="AD125:AE125" si="147">AD128</f>
        <v>1000000</v>
      </c>
      <c r="AE125" s="203">
        <f t="shared" si="147"/>
        <v>2200000</v>
      </c>
      <c r="AF125" s="268">
        <f>AF128</f>
        <v>0</v>
      </c>
      <c r="AG125" s="268">
        <f t="shared" ref="AG125:AH125" si="148">AG128</f>
        <v>2625081.5</v>
      </c>
      <c r="AH125" s="285">
        <f t="shared" si="148"/>
        <v>2625081.5</v>
      </c>
    </row>
    <row r="126" spans="1:35" s="158" customFormat="1" ht="28.5" customHeight="1" x14ac:dyDescent="0.3">
      <c r="A126" s="157"/>
      <c r="B126" s="6" t="s">
        <v>23</v>
      </c>
      <c r="C126" s="46"/>
      <c r="D126" s="14"/>
      <c r="E126" s="244"/>
      <c r="F126" s="243"/>
      <c r="G126" s="14"/>
      <c r="H126" s="140"/>
      <c r="I126" s="91"/>
      <c r="J126" s="243"/>
      <c r="K126" s="243"/>
      <c r="L126" s="48"/>
      <c r="M126" s="91"/>
      <c r="N126" s="84"/>
      <c r="O126" s="48"/>
      <c r="P126" s="91"/>
      <c r="Q126" s="84"/>
      <c r="R126" s="48"/>
      <c r="S126" s="91"/>
      <c r="T126" s="190"/>
      <c r="U126" s="50"/>
      <c r="V126" s="204"/>
      <c r="W126" s="190">
        <f>W127</f>
        <v>0</v>
      </c>
      <c r="X126" s="190">
        <f t="shared" ref="X126:Y126" si="149">X127</f>
        <v>12831.7</v>
      </c>
      <c r="Y126" s="204">
        <f t="shared" si="149"/>
        <v>12831.7</v>
      </c>
      <c r="Z126" s="190">
        <f>Z127</f>
        <v>0</v>
      </c>
      <c r="AA126" s="190">
        <f t="shared" ref="AA126:AB126" si="150">AA127</f>
        <v>52141.8</v>
      </c>
      <c r="AB126" s="204">
        <f t="shared" si="150"/>
        <v>52141.8</v>
      </c>
      <c r="AC126" s="190"/>
      <c r="AD126" s="190"/>
      <c r="AE126" s="204"/>
      <c r="AF126" s="212"/>
      <c r="AG126" s="237"/>
      <c r="AH126" s="234"/>
    </row>
    <row r="127" spans="1:35" s="158" customFormat="1" ht="28.5" customHeight="1" x14ac:dyDescent="0.3">
      <c r="A127" s="157"/>
      <c r="B127" s="6" t="s">
        <v>35</v>
      </c>
      <c r="C127" s="46"/>
      <c r="D127" s="14"/>
      <c r="E127" s="244"/>
      <c r="F127" s="243"/>
      <c r="G127" s="14"/>
      <c r="H127" s="140"/>
      <c r="I127" s="91"/>
      <c r="J127" s="243"/>
      <c r="K127" s="243"/>
      <c r="L127" s="48"/>
      <c r="M127" s="91"/>
      <c r="N127" s="84"/>
      <c r="O127" s="48"/>
      <c r="P127" s="91"/>
      <c r="Q127" s="84"/>
      <c r="R127" s="48"/>
      <c r="S127" s="91"/>
      <c r="T127" s="190"/>
      <c r="U127" s="50"/>
      <c r="V127" s="204"/>
      <c r="W127" s="190"/>
      <c r="X127" s="50">
        <v>12831.7</v>
      </c>
      <c r="Y127" s="204">
        <f>W127+X127</f>
        <v>12831.7</v>
      </c>
      <c r="Z127" s="190"/>
      <c r="AA127" s="190">
        <f>51932.5+209.3</f>
        <v>52141.8</v>
      </c>
      <c r="AB127" s="204">
        <f>Z127+AA127</f>
        <v>52141.8</v>
      </c>
      <c r="AC127" s="190"/>
      <c r="AD127" s="190"/>
      <c r="AE127" s="204"/>
      <c r="AF127" s="212"/>
      <c r="AG127" s="237"/>
      <c r="AH127" s="234"/>
    </row>
    <row r="128" spans="1:35" s="158" customFormat="1" ht="28.5" customHeight="1" x14ac:dyDescent="0.3">
      <c r="A128" s="157"/>
      <c r="B128" s="6" t="s">
        <v>44</v>
      </c>
      <c r="C128" s="46"/>
      <c r="D128" s="14"/>
      <c r="E128" s="244"/>
      <c r="F128" s="243"/>
      <c r="G128" s="14"/>
      <c r="H128" s="140"/>
      <c r="I128" s="91"/>
      <c r="J128" s="243"/>
      <c r="K128" s="243"/>
      <c r="L128" s="48"/>
      <c r="M128" s="91"/>
      <c r="N128" s="84"/>
      <c r="O128" s="48"/>
      <c r="P128" s="91"/>
      <c r="Q128" s="84"/>
      <c r="R128" s="48"/>
      <c r="S128" s="91"/>
      <c r="T128" s="190"/>
      <c r="U128" s="50"/>
      <c r="V128" s="204"/>
      <c r="W128" s="190">
        <v>1200000</v>
      </c>
      <c r="X128" s="190">
        <v>-1200000</v>
      </c>
      <c r="Y128" s="204">
        <f>W128+X128</f>
        <v>0</v>
      </c>
      <c r="Z128" s="190">
        <v>1315000</v>
      </c>
      <c r="AA128" s="190">
        <v>-1315000</v>
      </c>
      <c r="AB128" s="204">
        <f>Z128+AA128</f>
        <v>0</v>
      </c>
      <c r="AC128" s="190">
        <v>1200000</v>
      </c>
      <c r="AD128" s="190">
        <v>1000000</v>
      </c>
      <c r="AE128" s="204">
        <f>AC128+AD128</f>
        <v>2200000</v>
      </c>
      <c r="AF128" s="212"/>
      <c r="AG128" s="237">
        <f>2450026.5+175055</f>
        <v>2625081.5</v>
      </c>
      <c r="AH128" s="267">
        <f>AF128+AG128</f>
        <v>2625081.5</v>
      </c>
    </row>
    <row r="129" spans="1:35" ht="63.75" customHeight="1" x14ac:dyDescent="0.3">
      <c r="A129" s="59">
        <v>47</v>
      </c>
      <c r="B129" s="43" t="s">
        <v>79</v>
      </c>
      <c r="C129" s="46"/>
      <c r="D129" s="14">
        <v>2026</v>
      </c>
      <c r="E129" s="167">
        <v>7.7450000000000001</v>
      </c>
      <c r="F129" s="243">
        <v>305</v>
      </c>
      <c r="G129" s="14">
        <v>8.0500000000000007</v>
      </c>
      <c r="H129" s="140"/>
      <c r="I129" s="91">
        <v>3486950</v>
      </c>
      <c r="J129" s="243">
        <v>1</v>
      </c>
      <c r="K129" s="243">
        <v>220</v>
      </c>
      <c r="L129" s="48">
        <v>1380000</v>
      </c>
      <c r="M129" s="91">
        <v>0</v>
      </c>
      <c r="N129" s="84"/>
      <c r="O129" s="48"/>
      <c r="P129" s="91">
        <f t="shared" ref="P129:P169" si="151">N129+O129</f>
        <v>0</v>
      </c>
      <c r="Q129" s="84"/>
      <c r="R129" s="48"/>
      <c r="S129" s="91">
        <f t="shared" ref="S129:S169" si="152">Q129+R129</f>
        <v>0</v>
      </c>
      <c r="T129" s="190"/>
      <c r="U129" s="50"/>
      <c r="V129" s="204"/>
      <c r="W129" s="190">
        <v>395000</v>
      </c>
      <c r="X129" s="50">
        <v>-395000</v>
      </c>
      <c r="Y129" s="204">
        <f>W129+X129</f>
        <v>0</v>
      </c>
      <c r="Z129" s="190">
        <f>Z130+Z131</f>
        <v>985000</v>
      </c>
      <c r="AA129" s="190">
        <f t="shared" ref="AA129:AB129" si="153">AA130+AA131</f>
        <v>-976591.2</v>
      </c>
      <c r="AB129" s="204">
        <f t="shared" si="153"/>
        <v>8408.7999999999993</v>
      </c>
      <c r="AC129" s="190">
        <f>AC130+AC131</f>
        <v>0</v>
      </c>
      <c r="AD129" s="190">
        <f t="shared" ref="AD129:AE129" si="154">AD130+AD131</f>
        <v>24312.3</v>
      </c>
      <c r="AE129" s="204">
        <f t="shared" si="154"/>
        <v>24312.3</v>
      </c>
      <c r="AF129" s="269">
        <f>AF130+AF131</f>
        <v>0</v>
      </c>
      <c r="AG129" s="269">
        <f t="shared" ref="AG129:AH129" si="155">AG130+AG131</f>
        <v>3454228.9</v>
      </c>
      <c r="AH129" s="288">
        <f t="shared" si="155"/>
        <v>3454228.9</v>
      </c>
      <c r="AI129" s="40">
        <f>I129-M129-P129-S129-V129-Y129-AB129-AE129-AH129</f>
        <v>0</v>
      </c>
    </row>
    <row r="130" spans="1:35" ht="24.75" customHeight="1" x14ac:dyDescent="0.3">
      <c r="A130" s="59"/>
      <c r="B130" s="26" t="s">
        <v>22</v>
      </c>
      <c r="C130" s="33"/>
      <c r="D130" s="28"/>
      <c r="E130" s="19"/>
      <c r="F130" s="245"/>
      <c r="G130" s="28"/>
      <c r="H130" s="138"/>
      <c r="I130" s="92"/>
      <c r="J130" s="245"/>
      <c r="K130" s="245"/>
      <c r="L130" s="35"/>
      <c r="M130" s="92"/>
      <c r="N130" s="85"/>
      <c r="O130" s="35"/>
      <c r="P130" s="92"/>
      <c r="Q130" s="85"/>
      <c r="R130" s="35"/>
      <c r="S130" s="92"/>
      <c r="T130" s="189"/>
      <c r="U130" s="37"/>
      <c r="V130" s="203"/>
      <c r="W130" s="189"/>
      <c r="X130" s="37"/>
      <c r="Y130" s="203"/>
      <c r="Z130" s="189">
        <f>Z133</f>
        <v>985000</v>
      </c>
      <c r="AA130" s="189">
        <f t="shared" ref="AA130:AB130" si="156">AA133</f>
        <v>-985000</v>
      </c>
      <c r="AB130" s="203">
        <f t="shared" si="156"/>
        <v>0</v>
      </c>
      <c r="AC130" s="268">
        <f>AC133</f>
        <v>0</v>
      </c>
      <c r="AD130" s="268">
        <f t="shared" ref="AD130:AE130" si="157">AD133</f>
        <v>0</v>
      </c>
      <c r="AE130" s="285">
        <f t="shared" si="157"/>
        <v>0</v>
      </c>
      <c r="AF130" s="268">
        <f>AF133</f>
        <v>0</v>
      </c>
      <c r="AG130" s="268">
        <f t="shared" ref="AG130:AH130" si="158">AG133</f>
        <v>3454228.9</v>
      </c>
      <c r="AH130" s="285">
        <f t="shared" si="158"/>
        <v>3454228.9</v>
      </c>
    </row>
    <row r="131" spans="1:35" ht="24.75" customHeight="1" x14ac:dyDescent="0.3">
      <c r="A131" s="59"/>
      <c r="B131" s="6" t="s">
        <v>23</v>
      </c>
      <c r="C131" s="46"/>
      <c r="D131" s="14"/>
      <c r="E131" s="167"/>
      <c r="F131" s="243"/>
      <c r="G131" s="14"/>
      <c r="H131" s="140"/>
      <c r="I131" s="91"/>
      <c r="J131" s="243"/>
      <c r="K131" s="243"/>
      <c r="L131" s="48"/>
      <c r="M131" s="91"/>
      <c r="N131" s="84"/>
      <c r="O131" s="48"/>
      <c r="P131" s="91"/>
      <c r="Q131" s="84"/>
      <c r="R131" s="48"/>
      <c r="S131" s="91"/>
      <c r="T131" s="190"/>
      <c r="U131" s="50"/>
      <c r="V131" s="204"/>
      <c r="W131" s="190"/>
      <c r="X131" s="50"/>
      <c r="Y131" s="204"/>
      <c r="Z131" s="190"/>
      <c r="AA131" s="50">
        <f>AA132</f>
        <v>8408.7999999999993</v>
      </c>
      <c r="AB131" s="204">
        <f>AB132</f>
        <v>8408.7999999999993</v>
      </c>
      <c r="AC131" s="212">
        <f>AC132</f>
        <v>0</v>
      </c>
      <c r="AD131" s="212">
        <f t="shared" ref="AD131:AE131" si="159">AD132</f>
        <v>24312.3</v>
      </c>
      <c r="AE131" s="224">
        <f t="shared" si="159"/>
        <v>24312.3</v>
      </c>
      <c r="AF131" s="212"/>
      <c r="AG131" s="76"/>
      <c r="AH131" s="96"/>
    </row>
    <row r="132" spans="1:35" ht="24.75" customHeight="1" x14ac:dyDescent="0.3">
      <c r="A132" s="59"/>
      <c r="B132" s="6" t="s">
        <v>35</v>
      </c>
      <c r="C132" s="46"/>
      <c r="D132" s="14"/>
      <c r="E132" s="167"/>
      <c r="F132" s="243"/>
      <c r="G132" s="14"/>
      <c r="H132" s="140"/>
      <c r="I132" s="91"/>
      <c r="J132" s="243"/>
      <c r="K132" s="243"/>
      <c r="L132" s="48"/>
      <c r="M132" s="91"/>
      <c r="N132" s="84"/>
      <c r="O132" s="48"/>
      <c r="P132" s="91"/>
      <c r="Q132" s="84"/>
      <c r="R132" s="48"/>
      <c r="S132" s="91"/>
      <c r="T132" s="190"/>
      <c r="U132" s="50"/>
      <c r="V132" s="204"/>
      <c r="W132" s="190"/>
      <c r="X132" s="50"/>
      <c r="Y132" s="204"/>
      <c r="Z132" s="190"/>
      <c r="AA132" s="50">
        <v>8408.7999999999993</v>
      </c>
      <c r="AB132" s="204">
        <f>Z132+AA132</f>
        <v>8408.7999999999993</v>
      </c>
      <c r="AC132" s="212"/>
      <c r="AD132" s="169">
        <f>24103+209.3</f>
        <v>24312.3</v>
      </c>
      <c r="AE132" s="224">
        <f>AC132+AD132</f>
        <v>24312.3</v>
      </c>
      <c r="AF132" s="212"/>
      <c r="AG132" s="76"/>
      <c r="AH132" s="96"/>
    </row>
    <row r="133" spans="1:35" ht="24.75" customHeight="1" x14ac:dyDescent="0.3">
      <c r="A133" s="59"/>
      <c r="B133" s="6" t="s">
        <v>44</v>
      </c>
      <c r="C133" s="46"/>
      <c r="D133" s="14"/>
      <c r="E133" s="167"/>
      <c r="F133" s="243"/>
      <c r="G133" s="14"/>
      <c r="H133" s="140"/>
      <c r="I133" s="91"/>
      <c r="J133" s="243"/>
      <c r="K133" s="243"/>
      <c r="L133" s="48"/>
      <c r="M133" s="91"/>
      <c r="N133" s="84"/>
      <c r="O133" s="48"/>
      <c r="P133" s="91"/>
      <c r="Q133" s="84"/>
      <c r="R133" s="48"/>
      <c r="S133" s="91"/>
      <c r="T133" s="190"/>
      <c r="U133" s="50"/>
      <c r="V133" s="204"/>
      <c r="W133" s="190"/>
      <c r="X133" s="50"/>
      <c r="Y133" s="204"/>
      <c r="Z133" s="190">
        <v>985000</v>
      </c>
      <c r="AA133" s="50">
        <v>-985000</v>
      </c>
      <c r="AB133" s="204">
        <f>Z133+AA133</f>
        <v>0</v>
      </c>
      <c r="AC133" s="212"/>
      <c r="AD133" s="169"/>
      <c r="AE133" s="224">
        <f>AC133+AD133</f>
        <v>0</v>
      </c>
      <c r="AF133" s="212"/>
      <c r="AG133" s="76">
        <f>1347278.9+2106950</f>
        <v>3454228.9</v>
      </c>
      <c r="AH133" s="261">
        <f>AF133+AG133</f>
        <v>3454228.9</v>
      </c>
    </row>
    <row r="134" spans="1:35" ht="156" customHeight="1" x14ac:dyDescent="0.3">
      <c r="A134" s="59"/>
      <c r="B134" s="132" t="s">
        <v>92</v>
      </c>
      <c r="C134" s="46"/>
      <c r="D134" s="14">
        <v>2026</v>
      </c>
      <c r="E134" s="167">
        <v>49</v>
      </c>
      <c r="F134" s="243"/>
      <c r="G134" s="14"/>
      <c r="H134" s="140"/>
      <c r="I134" s="91">
        <v>4465120</v>
      </c>
      <c r="J134" s="243"/>
      <c r="K134" s="243"/>
      <c r="L134" s="48"/>
      <c r="M134" s="91"/>
      <c r="N134" s="84"/>
      <c r="O134" s="48"/>
      <c r="P134" s="91"/>
      <c r="Q134" s="84"/>
      <c r="R134" s="48"/>
      <c r="S134" s="91"/>
      <c r="T134" s="190"/>
      <c r="U134" s="50"/>
      <c r="V134" s="204"/>
      <c r="W134" s="190">
        <f>W135+W136</f>
        <v>0</v>
      </c>
      <c r="X134" s="190">
        <f t="shared" ref="X134:Y134" si="160">X135+X136</f>
        <v>23416</v>
      </c>
      <c r="Y134" s="204">
        <f t="shared" si="160"/>
        <v>23416</v>
      </c>
      <c r="Z134" s="190">
        <f>Z135+Z136</f>
        <v>0</v>
      </c>
      <c r="AA134" s="190">
        <f t="shared" ref="AA134:AB134" si="161">AA135+AA136</f>
        <v>35509.9</v>
      </c>
      <c r="AB134" s="204">
        <f t="shared" si="161"/>
        <v>35509.9</v>
      </c>
      <c r="AC134" s="190">
        <f>AC135+AC136</f>
        <v>0</v>
      </c>
      <c r="AD134" s="190">
        <f t="shared" ref="AD134:AE134" si="162">AD135+AD136</f>
        <v>2200000</v>
      </c>
      <c r="AE134" s="312">
        <f t="shared" si="162"/>
        <v>2200000</v>
      </c>
      <c r="AF134" s="190">
        <f>AF135+AF136</f>
        <v>0</v>
      </c>
      <c r="AG134" s="190">
        <f t="shared" ref="AG134:AH134" si="163">AG135+AG136</f>
        <v>2206194.1</v>
      </c>
      <c r="AH134" s="312">
        <f t="shared" si="163"/>
        <v>2206194.1</v>
      </c>
      <c r="AI134" s="40">
        <f>I134-Y134-AB134-AE134-AH134</f>
        <v>0</v>
      </c>
    </row>
    <row r="135" spans="1:35" ht="24.75" customHeight="1" x14ac:dyDescent="0.3">
      <c r="A135" s="59"/>
      <c r="B135" s="26" t="s">
        <v>22</v>
      </c>
      <c r="C135" s="33"/>
      <c r="D135" s="28"/>
      <c r="E135" s="19"/>
      <c r="F135" s="245"/>
      <c r="G135" s="28"/>
      <c r="H135" s="138"/>
      <c r="I135" s="92"/>
      <c r="J135" s="245"/>
      <c r="K135" s="245"/>
      <c r="L135" s="35"/>
      <c r="M135" s="92"/>
      <c r="N135" s="85"/>
      <c r="O135" s="35"/>
      <c r="P135" s="92"/>
      <c r="Q135" s="85"/>
      <c r="R135" s="35"/>
      <c r="S135" s="92"/>
      <c r="T135" s="189"/>
      <c r="U135" s="37"/>
      <c r="V135" s="203"/>
      <c r="W135" s="189"/>
      <c r="X135" s="37"/>
      <c r="Y135" s="203"/>
      <c r="Z135" s="189"/>
      <c r="AA135" s="37"/>
      <c r="AB135" s="203"/>
      <c r="AC135" s="198">
        <f>AC138</f>
        <v>0</v>
      </c>
      <c r="AD135" s="198">
        <f t="shared" ref="AD135:AE135" si="164">AD138</f>
        <v>2200000</v>
      </c>
      <c r="AE135" s="314">
        <f t="shared" si="164"/>
        <v>2200000</v>
      </c>
      <c r="AF135" s="198">
        <f>AF138</f>
        <v>0</v>
      </c>
      <c r="AG135" s="198">
        <f t="shared" ref="AG135:AH135" si="165">AG138</f>
        <v>2206194.1</v>
      </c>
      <c r="AH135" s="314">
        <f t="shared" si="165"/>
        <v>2206194.1</v>
      </c>
    </row>
    <row r="136" spans="1:35" ht="24.75" customHeight="1" x14ac:dyDescent="0.3">
      <c r="A136" s="59"/>
      <c r="B136" s="6" t="s">
        <v>23</v>
      </c>
      <c r="C136" s="46"/>
      <c r="D136" s="14"/>
      <c r="E136" s="167"/>
      <c r="F136" s="243"/>
      <c r="G136" s="14"/>
      <c r="H136" s="140"/>
      <c r="I136" s="91"/>
      <c r="J136" s="243"/>
      <c r="K136" s="243"/>
      <c r="L136" s="48"/>
      <c r="M136" s="91"/>
      <c r="N136" s="84"/>
      <c r="O136" s="48"/>
      <c r="P136" s="91"/>
      <c r="Q136" s="84"/>
      <c r="R136" s="48"/>
      <c r="S136" s="91"/>
      <c r="T136" s="190"/>
      <c r="U136" s="50"/>
      <c r="V136" s="204"/>
      <c r="W136" s="190">
        <f>W137</f>
        <v>0</v>
      </c>
      <c r="X136" s="190">
        <f t="shared" ref="X136:Y136" si="166">X137</f>
        <v>23416</v>
      </c>
      <c r="Y136" s="204">
        <f t="shared" si="166"/>
        <v>23416</v>
      </c>
      <c r="Z136" s="190">
        <f>Z137</f>
        <v>0</v>
      </c>
      <c r="AA136" s="190">
        <f t="shared" ref="AA136:AB136" si="167">AA137</f>
        <v>35509.9</v>
      </c>
      <c r="AB136" s="204">
        <f t="shared" si="167"/>
        <v>35509.9</v>
      </c>
      <c r="AC136" s="212"/>
      <c r="AD136" s="169"/>
      <c r="AE136" s="224"/>
      <c r="AF136" s="212"/>
      <c r="AG136" s="76"/>
      <c r="AH136" s="96"/>
    </row>
    <row r="137" spans="1:35" ht="24.75" customHeight="1" x14ac:dyDescent="0.3">
      <c r="A137" s="59"/>
      <c r="B137" s="6" t="s">
        <v>35</v>
      </c>
      <c r="C137" s="46"/>
      <c r="D137" s="14"/>
      <c r="E137" s="167"/>
      <c r="F137" s="243"/>
      <c r="G137" s="14"/>
      <c r="H137" s="140"/>
      <c r="I137" s="91"/>
      <c r="J137" s="243"/>
      <c r="K137" s="243"/>
      <c r="L137" s="48"/>
      <c r="M137" s="91"/>
      <c r="N137" s="84"/>
      <c r="O137" s="48"/>
      <c r="P137" s="91"/>
      <c r="Q137" s="84"/>
      <c r="R137" s="48"/>
      <c r="S137" s="91"/>
      <c r="T137" s="190"/>
      <c r="U137" s="50"/>
      <c r="V137" s="204"/>
      <c r="W137" s="190"/>
      <c r="X137" s="50">
        <v>23416</v>
      </c>
      <c r="Y137" s="204">
        <f>W137+X137</f>
        <v>23416</v>
      </c>
      <c r="Z137" s="190"/>
      <c r="AA137" s="50">
        <f>35308.3+201.6</f>
        <v>35509.9</v>
      </c>
      <c r="AB137" s="204">
        <f>Z137+AA137</f>
        <v>35509.9</v>
      </c>
      <c r="AC137" s="212"/>
      <c r="AD137" s="169"/>
      <c r="AE137" s="224"/>
      <c r="AF137" s="212"/>
      <c r="AG137" s="76"/>
      <c r="AH137" s="96"/>
    </row>
    <row r="138" spans="1:35" ht="24.75" customHeight="1" x14ac:dyDescent="0.3">
      <c r="A138" s="59"/>
      <c r="B138" s="6" t="s">
        <v>44</v>
      </c>
      <c r="C138" s="46"/>
      <c r="D138" s="14"/>
      <c r="E138" s="167"/>
      <c r="F138" s="243"/>
      <c r="G138" s="14"/>
      <c r="H138" s="140"/>
      <c r="I138" s="91"/>
      <c r="J138" s="243"/>
      <c r="K138" s="243"/>
      <c r="L138" s="48"/>
      <c r="M138" s="91"/>
      <c r="N138" s="84"/>
      <c r="O138" s="48"/>
      <c r="P138" s="91"/>
      <c r="Q138" s="84"/>
      <c r="R138" s="48"/>
      <c r="S138" s="91"/>
      <c r="T138" s="190"/>
      <c r="U138" s="50"/>
      <c r="V138" s="204"/>
      <c r="W138" s="190"/>
      <c r="X138" s="50"/>
      <c r="Y138" s="204"/>
      <c r="Z138" s="190"/>
      <c r="AA138" s="50"/>
      <c r="AB138" s="204"/>
      <c r="AC138" s="212"/>
      <c r="AD138" s="169">
        <v>2200000</v>
      </c>
      <c r="AE138" s="224">
        <f>AC138+AD138</f>
        <v>2200000</v>
      </c>
      <c r="AF138" s="212"/>
      <c r="AG138" s="302">
        <v>2206194.1</v>
      </c>
      <c r="AH138" s="261">
        <f>AF138+AG138</f>
        <v>2206194.1</v>
      </c>
    </row>
    <row r="139" spans="1:35" ht="64.5" customHeight="1" x14ac:dyDescent="0.3">
      <c r="A139" s="59"/>
      <c r="B139" s="43" t="s">
        <v>86</v>
      </c>
      <c r="C139" s="46"/>
      <c r="D139" s="14">
        <v>2026</v>
      </c>
      <c r="E139" s="167">
        <v>58.55</v>
      </c>
      <c r="F139" s="243"/>
      <c r="G139" s="14"/>
      <c r="H139" s="140"/>
      <c r="I139" s="91">
        <v>2902380</v>
      </c>
      <c r="J139" s="243"/>
      <c r="K139" s="243"/>
      <c r="L139" s="48"/>
      <c r="M139" s="91"/>
      <c r="N139" s="84"/>
      <c r="O139" s="48"/>
      <c r="P139" s="91"/>
      <c r="Q139" s="84"/>
      <c r="R139" s="48"/>
      <c r="S139" s="91"/>
      <c r="T139" s="190"/>
      <c r="U139" s="50"/>
      <c r="V139" s="204"/>
      <c r="W139" s="190">
        <f>W140+W141</f>
        <v>0</v>
      </c>
      <c r="X139" s="190">
        <f t="shared" ref="X139:Y139" si="168">X140+X141</f>
        <v>20916.5</v>
      </c>
      <c r="Y139" s="204">
        <f t="shared" si="168"/>
        <v>20916.5</v>
      </c>
      <c r="Z139" s="190">
        <f>Z140+Z141</f>
        <v>0</v>
      </c>
      <c r="AA139" s="190">
        <f t="shared" ref="AA139:AB139" si="169">AA140+AA141</f>
        <v>25555.199999999997</v>
      </c>
      <c r="AB139" s="204">
        <f t="shared" si="169"/>
        <v>25555.199999999997</v>
      </c>
      <c r="AC139" s="190">
        <f>AC140+AC141</f>
        <v>0</v>
      </c>
      <c r="AD139" s="190">
        <f t="shared" ref="AD139:AE139" si="170">AD140+AD141</f>
        <v>1400000</v>
      </c>
      <c r="AE139" s="312">
        <f t="shared" si="170"/>
        <v>1400000</v>
      </c>
      <c r="AF139" s="190">
        <f>AF140+AF141</f>
        <v>0</v>
      </c>
      <c r="AG139" s="190">
        <f t="shared" ref="AG139:AH139" si="171">AG140+AG141</f>
        <v>1455908.3</v>
      </c>
      <c r="AH139" s="312">
        <f t="shared" si="171"/>
        <v>1455908.3</v>
      </c>
      <c r="AI139" s="40">
        <f>I139-Y139-AB139-AE139-AH139</f>
        <v>0</v>
      </c>
    </row>
    <row r="140" spans="1:35" ht="24.75" customHeight="1" x14ac:dyDescent="0.3">
      <c r="A140" s="59"/>
      <c r="B140" s="26" t="s">
        <v>22</v>
      </c>
      <c r="C140" s="33"/>
      <c r="D140" s="28"/>
      <c r="E140" s="19"/>
      <c r="F140" s="245"/>
      <c r="G140" s="28"/>
      <c r="H140" s="138"/>
      <c r="I140" s="92"/>
      <c r="J140" s="245"/>
      <c r="K140" s="245"/>
      <c r="L140" s="35"/>
      <c r="M140" s="92"/>
      <c r="N140" s="85"/>
      <c r="O140" s="35"/>
      <c r="P140" s="92"/>
      <c r="Q140" s="85"/>
      <c r="R140" s="35"/>
      <c r="S140" s="92"/>
      <c r="T140" s="189"/>
      <c r="U140" s="37"/>
      <c r="V140" s="203"/>
      <c r="W140" s="189"/>
      <c r="X140" s="189"/>
      <c r="Y140" s="203"/>
      <c r="Z140" s="189"/>
      <c r="AA140" s="189"/>
      <c r="AB140" s="203"/>
      <c r="AC140" s="198">
        <f>AC143</f>
        <v>0</v>
      </c>
      <c r="AD140" s="198">
        <f t="shared" ref="AD140:AE140" si="172">AD143</f>
        <v>1400000</v>
      </c>
      <c r="AE140" s="314">
        <f t="shared" si="172"/>
        <v>1400000</v>
      </c>
      <c r="AF140" s="198">
        <f>AF143</f>
        <v>0</v>
      </c>
      <c r="AG140" s="198">
        <f t="shared" ref="AG140:AH140" si="173">AG143</f>
        <v>1455908.3</v>
      </c>
      <c r="AH140" s="314">
        <f t="shared" si="173"/>
        <v>1455908.3</v>
      </c>
    </row>
    <row r="141" spans="1:35" ht="24.75" customHeight="1" x14ac:dyDescent="0.3">
      <c r="A141" s="59"/>
      <c r="B141" s="6" t="s">
        <v>23</v>
      </c>
      <c r="C141" s="46"/>
      <c r="D141" s="14"/>
      <c r="E141" s="167"/>
      <c r="F141" s="243"/>
      <c r="G141" s="14"/>
      <c r="H141" s="140"/>
      <c r="I141" s="91"/>
      <c r="J141" s="243"/>
      <c r="K141" s="243"/>
      <c r="L141" s="48"/>
      <c r="M141" s="91"/>
      <c r="N141" s="84"/>
      <c r="O141" s="48"/>
      <c r="P141" s="91"/>
      <c r="Q141" s="84"/>
      <c r="R141" s="48"/>
      <c r="S141" s="91"/>
      <c r="T141" s="190"/>
      <c r="U141" s="50"/>
      <c r="V141" s="204"/>
      <c r="W141" s="190">
        <f>W142</f>
        <v>0</v>
      </c>
      <c r="X141" s="190">
        <f t="shared" ref="X141:Y141" si="174">X142</f>
        <v>20916.5</v>
      </c>
      <c r="Y141" s="204">
        <f t="shared" si="174"/>
        <v>20916.5</v>
      </c>
      <c r="Z141" s="190">
        <f>Z142</f>
        <v>0</v>
      </c>
      <c r="AA141" s="190">
        <f t="shared" ref="AA141:AB141" si="175">AA142</f>
        <v>25555.199999999997</v>
      </c>
      <c r="AB141" s="204">
        <f t="shared" si="175"/>
        <v>25555.199999999997</v>
      </c>
      <c r="AC141" s="212"/>
      <c r="AD141" s="212"/>
      <c r="AE141" s="224"/>
      <c r="AF141" s="212"/>
      <c r="AG141" s="228"/>
      <c r="AH141" s="96"/>
    </row>
    <row r="142" spans="1:35" ht="24.75" customHeight="1" x14ac:dyDescent="0.3">
      <c r="A142" s="59"/>
      <c r="B142" s="6" t="s">
        <v>35</v>
      </c>
      <c r="C142" s="46"/>
      <c r="D142" s="14"/>
      <c r="E142" s="167"/>
      <c r="F142" s="243"/>
      <c r="G142" s="14"/>
      <c r="H142" s="140"/>
      <c r="I142" s="91"/>
      <c r="J142" s="243"/>
      <c r="K142" s="243"/>
      <c r="L142" s="48"/>
      <c r="M142" s="91"/>
      <c r="N142" s="84"/>
      <c r="O142" s="48"/>
      <c r="P142" s="91"/>
      <c r="Q142" s="84"/>
      <c r="R142" s="48"/>
      <c r="S142" s="91"/>
      <c r="T142" s="190"/>
      <c r="U142" s="50"/>
      <c r="V142" s="204"/>
      <c r="W142" s="190"/>
      <c r="X142" s="190">
        <v>20916.5</v>
      </c>
      <c r="Y142" s="204">
        <f>W142+X142</f>
        <v>20916.5</v>
      </c>
      <c r="Z142" s="190"/>
      <c r="AA142" s="190">
        <f>25353.6+201.6</f>
        <v>25555.199999999997</v>
      </c>
      <c r="AB142" s="204">
        <f>Z142+AA142</f>
        <v>25555.199999999997</v>
      </c>
      <c r="AC142" s="212"/>
      <c r="AD142" s="212"/>
      <c r="AE142" s="224"/>
      <c r="AF142" s="212"/>
      <c r="AG142" s="228"/>
      <c r="AH142" s="96"/>
    </row>
    <row r="143" spans="1:35" ht="24.75" customHeight="1" x14ac:dyDescent="0.3">
      <c r="A143" s="59"/>
      <c r="B143" s="6" t="s">
        <v>44</v>
      </c>
      <c r="C143" s="46"/>
      <c r="D143" s="14"/>
      <c r="E143" s="167"/>
      <c r="F143" s="243"/>
      <c r="G143" s="14"/>
      <c r="H143" s="140"/>
      <c r="I143" s="91"/>
      <c r="J143" s="243"/>
      <c r="K143" s="243"/>
      <c r="L143" s="48"/>
      <c r="M143" s="91"/>
      <c r="N143" s="84"/>
      <c r="O143" s="48"/>
      <c r="P143" s="91"/>
      <c r="Q143" s="84"/>
      <c r="R143" s="48"/>
      <c r="S143" s="91"/>
      <c r="T143" s="190"/>
      <c r="U143" s="50"/>
      <c r="V143" s="204"/>
      <c r="W143" s="190"/>
      <c r="X143" s="190"/>
      <c r="Y143" s="204"/>
      <c r="Z143" s="190"/>
      <c r="AA143" s="190"/>
      <c r="AB143" s="204"/>
      <c r="AC143" s="212"/>
      <c r="AD143" s="212">
        <v>1400000</v>
      </c>
      <c r="AE143" s="224">
        <f>AC143+AD143</f>
        <v>1400000</v>
      </c>
      <c r="AF143" s="212"/>
      <c r="AG143" s="303">
        <v>1455908.3</v>
      </c>
      <c r="AH143" s="261">
        <f>AF143+AG143</f>
        <v>1455908.3</v>
      </c>
    </row>
    <row r="144" spans="1:35" ht="94.5" customHeight="1" x14ac:dyDescent="0.3">
      <c r="A144" s="59"/>
      <c r="B144" s="293" t="s">
        <v>87</v>
      </c>
      <c r="C144" s="46"/>
      <c r="D144" s="14">
        <v>2022</v>
      </c>
      <c r="E144" s="167"/>
      <c r="F144" s="297">
        <v>104.79</v>
      </c>
      <c r="G144" s="14"/>
      <c r="H144" s="140"/>
      <c r="I144" s="91">
        <v>377279</v>
      </c>
      <c r="J144" s="243"/>
      <c r="K144" s="243"/>
      <c r="L144" s="48"/>
      <c r="M144" s="91"/>
      <c r="N144" s="84"/>
      <c r="O144" s="48"/>
      <c r="P144" s="91"/>
      <c r="Q144" s="84"/>
      <c r="R144" s="48">
        <f>R145+R146</f>
        <v>10479</v>
      </c>
      <c r="S144" s="91">
        <f>S145+S146</f>
        <v>10479</v>
      </c>
      <c r="T144" s="190"/>
      <c r="U144" s="50">
        <f>U145+U146</f>
        <v>366800</v>
      </c>
      <c r="V144" s="204">
        <f>V145+V146</f>
        <v>366800</v>
      </c>
      <c r="W144" s="190"/>
      <c r="X144" s="190"/>
      <c r="Y144" s="204"/>
      <c r="Z144" s="190"/>
      <c r="AA144" s="190"/>
      <c r="AB144" s="204"/>
      <c r="AC144" s="212"/>
      <c r="AD144" s="212"/>
      <c r="AE144" s="224"/>
      <c r="AF144" s="212"/>
      <c r="AG144" s="228"/>
      <c r="AH144" s="96"/>
      <c r="AI144" s="40">
        <f>I144-S144-V144</f>
        <v>0</v>
      </c>
    </row>
    <row r="145" spans="1:35" ht="24.75" customHeight="1" x14ac:dyDescent="0.3">
      <c r="A145" s="59"/>
      <c r="B145" s="26" t="s">
        <v>22</v>
      </c>
      <c r="C145" s="33"/>
      <c r="D145" s="28"/>
      <c r="E145" s="19"/>
      <c r="F145" s="245"/>
      <c r="G145" s="28"/>
      <c r="H145" s="138"/>
      <c r="I145" s="92"/>
      <c r="J145" s="245"/>
      <c r="K145" s="245"/>
      <c r="L145" s="35"/>
      <c r="M145" s="92"/>
      <c r="N145" s="85"/>
      <c r="O145" s="35"/>
      <c r="P145" s="92"/>
      <c r="Q145" s="85"/>
      <c r="R145" s="35">
        <f>R147+R148</f>
        <v>10479</v>
      </c>
      <c r="S145" s="92">
        <f>S147+S148</f>
        <v>10479</v>
      </c>
      <c r="T145" s="189"/>
      <c r="U145" s="37">
        <f>U147+U148</f>
        <v>366800</v>
      </c>
      <c r="V145" s="203">
        <f>V147+V148</f>
        <v>366800</v>
      </c>
      <c r="W145" s="189"/>
      <c r="X145" s="189"/>
      <c r="Y145" s="203"/>
      <c r="Z145" s="189"/>
      <c r="AA145" s="189"/>
      <c r="AB145" s="203"/>
      <c r="AC145" s="198"/>
      <c r="AD145" s="198"/>
      <c r="AE145" s="216"/>
      <c r="AF145" s="198"/>
      <c r="AG145" s="227"/>
      <c r="AH145" s="235"/>
    </row>
    <row r="146" spans="1:35" ht="24.75" customHeight="1" x14ac:dyDescent="0.3">
      <c r="A146" s="59"/>
      <c r="B146" s="6" t="s">
        <v>23</v>
      </c>
      <c r="C146" s="46"/>
      <c r="D146" s="14"/>
      <c r="E146" s="167"/>
      <c r="F146" s="243"/>
      <c r="G146" s="14"/>
      <c r="H146" s="140"/>
      <c r="I146" s="91"/>
      <c r="J146" s="243"/>
      <c r="K146" s="243"/>
      <c r="L146" s="48"/>
      <c r="M146" s="91"/>
      <c r="N146" s="84"/>
      <c r="O146" s="48"/>
      <c r="P146" s="91"/>
      <c r="Q146" s="84"/>
      <c r="R146" s="48"/>
      <c r="S146" s="91"/>
      <c r="T146" s="190"/>
      <c r="U146" s="50"/>
      <c r="V146" s="204"/>
      <c r="W146" s="190"/>
      <c r="X146" s="190"/>
      <c r="Y146" s="204"/>
      <c r="Z146" s="190"/>
      <c r="AA146" s="190"/>
      <c r="AB146" s="204"/>
      <c r="AC146" s="212"/>
      <c r="AD146" s="212"/>
      <c r="AE146" s="224"/>
      <c r="AF146" s="212"/>
      <c r="AG146" s="228"/>
      <c r="AH146" s="96"/>
    </row>
    <row r="147" spans="1:35" ht="24.75" customHeight="1" x14ac:dyDescent="0.3">
      <c r="A147" s="59"/>
      <c r="B147" s="6" t="s">
        <v>35</v>
      </c>
      <c r="C147" s="46"/>
      <c r="D147" s="14"/>
      <c r="E147" s="167"/>
      <c r="F147" s="243"/>
      <c r="G147" s="14"/>
      <c r="H147" s="140"/>
      <c r="I147" s="91"/>
      <c r="J147" s="243"/>
      <c r="K147" s="243"/>
      <c r="L147" s="48"/>
      <c r="M147" s="91"/>
      <c r="N147" s="84"/>
      <c r="O147" s="48"/>
      <c r="P147" s="91"/>
      <c r="Q147" s="84"/>
      <c r="R147" s="48">
        <v>10479</v>
      </c>
      <c r="S147" s="91">
        <f>Q147+R147</f>
        <v>10479</v>
      </c>
      <c r="T147" s="190"/>
      <c r="U147" s="50"/>
      <c r="V147" s="204"/>
      <c r="W147" s="190"/>
      <c r="X147" s="190"/>
      <c r="Y147" s="204"/>
      <c r="Z147" s="190"/>
      <c r="AA147" s="190"/>
      <c r="AB147" s="204"/>
      <c r="AC147" s="212"/>
      <c r="AD147" s="212"/>
      <c r="AE147" s="224"/>
      <c r="AF147" s="212"/>
      <c r="AG147" s="228"/>
      <c r="AH147" s="96"/>
    </row>
    <row r="148" spans="1:35" ht="24.75" customHeight="1" x14ac:dyDescent="0.3">
      <c r="A148" s="59"/>
      <c r="B148" s="6" t="s">
        <v>44</v>
      </c>
      <c r="C148" s="46"/>
      <c r="D148" s="14"/>
      <c r="E148" s="167"/>
      <c r="F148" s="243"/>
      <c r="G148" s="14"/>
      <c r="H148" s="140"/>
      <c r="I148" s="91"/>
      <c r="J148" s="243"/>
      <c r="K148" s="243"/>
      <c r="L148" s="48"/>
      <c r="M148" s="91"/>
      <c r="N148" s="84"/>
      <c r="O148" s="48"/>
      <c r="P148" s="91"/>
      <c r="Q148" s="84"/>
      <c r="R148" s="48"/>
      <c r="S148" s="91"/>
      <c r="T148" s="190"/>
      <c r="U148" s="50">
        <v>366800</v>
      </c>
      <c r="V148" s="204">
        <f>T148+U148</f>
        <v>366800</v>
      </c>
      <c r="W148" s="190"/>
      <c r="X148" s="190"/>
      <c r="Y148" s="204"/>
      <c r="Z148" s="190"/>
      <c r="AA148" s="190"/>
      <c r="AB148" s="204"/>
      <c r="AC148" s="212"/>
      <c r="AD148" s="212"/>
      <c r="AE148" s="224"/>
      <c r="AF148" s="212"/>
      <c r="AG148" s="228"/>
      <c r="AH148" s="96"/>
    </row>
    <row r="149" spans="1:35" ht="92.25" customHeight="1" x14ac:dyDescent="0.3">
      <c r="A149" s="59"/>
      <c r="B149" s="293" t="s">
        <v>88</v>
      </c>
      <c r="C149" s="46"/>
      <c r="D149" s="14">
        <v>2022</v>
      </c>
      <c r="E149" s="167"/>
      <c r="F149" s="297">
        <v>354.5</v>
      </c>
      <c r="G149" s="14"/>
      <c r="H149" s="140"/>
      <c r="I149" s="91">
        <v>1276250</v>
      </c>
      <c r="J149" s="243"/>
      <c r="K149" s="243"/>
      <c r="L149" s="48"/>
      <c r="M149" s="91"/>
      <c r="N149" s="84"/>
      <c r="O149" s="48"/>
      <c r="P149" s="91"/>
      <c r="Q149" s="84"/>
      <c r="R149" s="48">
        <f>R150+R151</f>
        <v>35450</v>
      </c>
      <c r="S149" s="91">
        <f>S150+S151</f>
        <v>35450</v>
      </c>
      <c r="T149" s="190"/>
      <c r="U149" s="50">
        <f>U150+U151</f>
        <v>1240800</v>
      </c>
      <c r="V149" s="204">
        <f>V150+V151</f>
        <v>1240800</v>
      </c>
      <c r="W149" s="190"/>
      <c r="X149" s="190"/>
      <c r="Y149" s="204"/>
      <c r="Z149" s="190"/>
      <c r="AA149" s="190"/>
      <c r="AB149" s="204"/>
      <c r="AC149" s="212"/>
      <c r="AD149" s="212"/>
      <c r="AE149" s="224"/>
      <c r="AF149" s="212"/>
      <c r="AG149" s="228"/>
      <c r="AH149" s="96"/>
      <c r="AI149" s="40">
        <f>I149-M149-P149-S149-V149</f>
        <v>0</v>
      </c>
    </row>
    <row r="150" spans="1:35" ht="24.75" customHeight="1" x14ac:dyDescent="0.3">
      <c r="A150" s="59"/>
      <c r="B150" s="26" t="s">
        <v>22</v>
      </c>
      <c r="C150" s="33"/>
      <c r="D150" s="28"/>
      <c r="E150" s="19"/>
      <c r="F150" s="298"/>
      <c r="G150" s="28"/>
      <c r="H150" s="138"/>
      <c r="I150" s="92"/>
      <c r="J150" s="245"/>
      <c r="K150" s="245"/>
      <c r="L150" s="35"/>
      <c r="M150" s="92"/>
      <c r="N150" s="85"/>
      <c r="O150" s="35"/>
      <c r="P150" s="92"/>
      <c r="Q150" s="85"/>
      <c r="R150" s="35">
        <f>R152+R153</f>
        <v>35450</v>
      </c>
      <c r="S150" s="92">
        <f>S152+S153</f>
        <v>35450</v>
      </c>
      <c r="T150" s="189"/>
      <c r="U150" s="37">
        <f>U152+U153</f>
        <v>1240800</v>
      </c>
      <c r="V150" s="203">
        <f>V152+V153</f>
        <v>1240800</v>
      </c>
      <c r="W150" s="189"/>
      <c r="X150" s="189"/>
      <c r="Y150" s="203"/>
      <c r="Z150" s="189"/>
      <c r="AA150" s="189"/>
      <c r="AB150" s="203"/>
      <c r="AC150" s="198"/>
      <c r="AD150" s="198"/>
      <c r="AE150" s="216"/>
      <c r="AF150" s="198"/>
      <c r="AG150" s="227"/>
      <c r="AH150" s="235"/>
    </row>
    <row r="151" spans="1:35" ht="24.75" customHeight="1" x14ac:dyDescent="0.3">
      <c r="A151" s="59"/>
      <c r="B151" s="6" t="s">
        <v>23</v>
      </c>
      <c r="C151" s="46"/>
      <c r="D151" s="14"/>
      <c r="E151" s="167"/>
      <c r="F151" s="243"/>
      <c r="G151" s="14"/>
      <c r="H151" s="140"/>
      <c r="I151" s="91"/>
      <c r="J151" s="243"/>
      <c r="K151" s="243"/>
      <c r="L151" s="48"/>
      <c r="M151" s="91"/>
      <c r="N151" s="84"/>
      <c r="O151" s="48"/>
      <c r="P151" s="91"/>
      <c r="Q151" s="84"/>
      <c r="R151" s="48"/>
      <c r="S151" s="91"/>
      <c r="T151" s="190"/>
      <c r="U151" s="50"/>
      <c r="V151" s="204"/>
      <c r="W151" s="190"/>
      <c r="X151" s="190"/>
      <c r="Y151" s="204"/>
      <c r="Z151" s="190"/>
      <c r="AA151" s="190"/>
      <c r="AB151" s="204"/>
      <c r="AC151" s="212"/>
      <c r="AD151" s="212"/>
      <c r="AE151" s="224"/>
      <c r="AF151" s="212"/>
      <c r="AG151" s="228"/>
      <c r="AH151" s="96"/>
    </row>
    <row r="152" spans="1:35" ht="24.75" customHeight="1" x14ac:dyDescent="0.3">
      <c r="A152" s="59"/>
      <c r="B152" s="6" t="s">
        <v>35</v>
      </c>
      <c r="C152" s="46"/>
      <c r="D152" s="14"/>
      <c r="E152" s="167"/>
      <c r="F152" s="243"/>
      <c r="G152" s="14"/>
      <c r="H152" s="140"/>
      <c r="I152" s="91"/>
      <c r="J152" s="243"/>
      <c r="K152" s="243"/>
      <c r="L152" s="48"/>
      <c r="M152" s="91"/>
      <c r="N152" s="84"/>
      <c r="O152" s="48"/>
      <c r="P152" s="91"/>
      <c r="Q152" s="84"/>
      <c r="R152" s="48">
        <v>35450</v>
      </c>
      <c r="S152" s="91">
        <f>Q152+R152</f>
        <v>35450</v>
      </c>
      <c r="T152" s="190"/>
      <c r="U152" s="50"/>
      <c r="V152" s="204"/>
      <c r="W152" s="190"/>
      <c r="X152" s="190"/>
      <c r="Y152" s="204"/>
      <c r="Z152" s="190"/>
      <c r="AA152" s="190"/>
      <c r="AB152" s="204"/>
      <c r="AC152" s="212"/>
      <c r="AD152" s="212"/>
      <c r="AE152" s="224"/>
      <c r="AF152" s="212"/>
      <c r="AG152" s="228"/>
      <c r="AH152" s="96"/>
    </row>
    <row r="153" spans="1:35" ht="24.75" customHeight="1" x14ac:dyDescent="0.3">
      <c r="A153" s="59"/>
      <c r="B153" s="6" t="s">
        <v>44</v>
      </c>
      <c r="C153" s="46"/>
      <c r="D153" s="14"/>
      <c r="E153" s="167"/>
      <c r="F153" s="243"/>
      <c r="G153" s="14"/>
      <c r="H153" s="140"/>
      <c r="I153" s="91"/>
      <c r="J153" s="243"/>
      <c r="K153" s="243"/>
      <c r="L153" s="48"/>
      <c r="M153" s="91"/>
      <c r="N153" s="84"/>
      <c r="O153" s="48"/>
      <c r="P153" s="91"/>
      <c r="Q153" s="84"/>
      <c r="R153" s="48"/>
      <c r="S153" s="91"/>
      <c r="T153" s="190"/>
      <c r="U153" s="50">
        <v>1240800</v>
      </c>
      <c r="V153" s="204">
        <f>T153+U153</f>
        <v>1240800</v>
      </c>
      <c r="W153" s="190"/>
      <c r="X153" s="190"/>
      <c r="Y153" s="204"/>
      <c r="Z153" s="190"/>
      <c r="AA153" s="190"/>
      <c r="AB153" s="204"/>
      <c r="AC153" s="212"/>
      <c r="AD153" s="212"/>
      <c r="AE153" s="224"/>
      <c r="AF153" s="212"/>
      <c r="AG153" s="228"/>
      <c r="AH153" s="96"/>
    </row>
    <row r="154" spans="1:35" ht="97.5" customHeight="1" x14ac:dyDescent="0.3">
      <c r="A154" s="59"/>
      <c r="B154" s="293" t="s">
        <v>89</v>
      </c>
      <c r="C154" s="46"/>
      <c r="D154" s="14">
        <v>2022</v>
      </c>
      <c r="E154" s="167"/>
      <c r="F154" s="297">
        <v>155.46</v>
      </c>
      <c r="G154" s="14"/>
      <c r="H154" s="140"/>
      <c r="I154" s="91">
        <v>559626</v>
      </c>
      <c r="J154" s="243"/>
      <c r="K154" s="243"/>
      <c r="L154" s="48"/>
      <c r="M154" s="91"/>
      <c r="N154" s="84"/>
      <c r="O154" s="48"/>
      <c r="P154" s="91"/>
      <c r="Q154" s="84"/>
      <c r="R154" s="48">
        <f>R155+R156</f>
        <v>15426</v>
      </c>
      <c r="S154" s="91">
        <f>S155+S156</f>
        <v>15426</v>
      </c>
      <c r="T154" s="190"/>
      <c r="U154" s="50">
        <f>U155+U156</f>
        <v>544200</v>
      </c>
      <c r="V154" s="204">
        <f>V155+V156</f>
        <v>544200</v>
      </c>
      <c r="W154" s="190"/>
      <c r="X154" s="190"/>
      <c r="Y154" s="204"/>
      <c r="Z154" s="190"/>
      <c r="AA154" s="190"/>
      <c r="AB154" s="204"/>
      <c r="AC154" s="212"/>
      <c r="AD154" s="212"/>
      <c r="AE154" s="224"/>
      <c r="AF154" s="212"/>
      <c r="AG154" s="228"/>
      <c r="AH154" s="96"/>
      <c r="AI154" s="40">
        <f>I154-S154-V154</f>
        <v>0</v>
      </c>
    </row>
    <row r="155" spans="1:35" ht="24.75" customHeight="1" x14ac:dyDescent="0.3">
      <c r="A155" s="59"/>
      <c r="B155" s="26" t="s">
        <v>22</v>
      </c>
      <c r="C155" s="33"/>
      <c r="D155" s="28"/>
      <c r="E155" s="19"/>
      <c r="F155" s="245"/>
      <c r="G155" s="28"/>
      <c r="H155" s="138"/>
      <c r="I155" s="92"/>
      <c r="J155" s="245"/>
      <c r="K155" s="245"/>
      <c r="L155" s="35"/>
      <c r="M155" s="92"/>
      <c r="N155" s="85"/>
      <c r="O155" s="35"/>
      <c r="P155" s="92"/>
      <c r="Q155" s="85"/>
      <c r="R155" s="35">
        <f>R157+R158</f>
        <v>15426</v>
      </c>
      <c r="S155" s="92">
        <f>S157+S158</f>
        <v>15426</v>
      </c>
      <c r="T155" s="189"/>
      <c r="U155" s="37">
        <f>U157+U158</f>
        <v>544200</v>
      </c>
      <c r="V155" s="203">
        <f>V157+V158</f>
        <v>544200</v>
      </c>
      <c r="W155" s="189"/>
      <c r="X155" s="189"/>
      <c r="Y155" s="203"/>
      <c r="Z155" s="189"/>
      <c r="AA155" s="189"/>
      <c r="AB155" s="203"/>
      <c r="AC155" s="198"/>
      <c r="AD155" s="198"/>
      <c r="AE155" s="216"/>
      <c r="AF155" s="198"/>
      <c r="AG155" s="227"/>
      <c r="AH155" s="235"/>
    </row>
    <row r="156" spans="1:35" ht="24.75" customHeight="1" x14ac:dyDescent="0.3">
      <c r="A156" s="59"/>
      <c r="B156" s="6" t="s">
        <v>23</v>
      </c>
      <c r="C156" s="46"/>
      <c r="D156" s="14"/>
      <c r="E156" s="167"/>
      <c r="F156" s="243"/>
      <c r="G156" s="14"/>
      <c r="H156" s="140"/>
      <c r="I156" s="91"/>
      <c r="J156" s="243"/>
      <c r="K156" s="243"/>
      <c r="L156" s="48"/>
      <c r="M156" s="91"/>
      <c r="N156" s="84"/>
      <c r="O156" s="48"/>
      <c r="P156" s="91"/>
      <c r="Q156" s="84"/>
      <c r="R156" s="48"/>
      <c r="S156" s="91"/>
      <c r="T156" s="190"/>
      <c r="U156" s="50"/>
      <c r="V156" s="204"/>
      <c r="W156" s="190"/>
      <c r="X156" s="190"/>
      <c r="Y156" s="204"/>
      <c r="Z156" s="190"/>
      <c r="AA156" s="190"/>
      <c r="AB156" s="204"/>
      <c r="AC156" s="212"/>
      <c r="AD156" s="212"/>
      <c r="AE156" s="224"/>
      <c r="AF156" s="212"/>
      <c r="AG156" s="228"/>
      <c r="AH156" s="96"/>
    </row>
    <row r="157" spans="1:35" ht="24.75" customHeight="1" x14ac:dyDescent="0.3">
      <c r="A157" s="59"/>
      <c r="B157" s="6" t="s">
        <v>35</v>
      </c>
      <c r="C157" s="46"/>
      <c r="D157" s="14"/>
      <c r="E157" s="167"/>
      <c r="F157" s="243"/>
      <c r="G157" s="14"/>
      <c r="H157" s="140"/>
      <c r="I157" s="91"/>
      <c r="J157" s="243"/>
      <c r="K157" s="243"/>
      <c r="L157" s="48"/>
      <c r="M157" s="91"/>
      <c r="N157" s="84"/>
      <c r="O157" s="48"/>
      <c r="P157" s="91"/>
      <c r="Q157" s="84"/>
      <c r="R157" s="48">
        <v>15426</v>
      </c>
      <c r="S157" s="91">
        <f>Q157+R157</f>
        <v>15426</v>
      </c>
      <c r="T157" s="190"/>
      <c r="U157" s="50"/>
      <c r="V157" s="204"/>
      <c r="W157" s="190"/>
      <c r="X157" s="190"/>
      <c r="Y157" s="204"/>
      <c r="Z157" s="190"/>
      <c r="AA157" s="190"/>
      <c r="AB157" s="204"/>
      <c r="AC157" s="212"/>
      <c r="AD157" s="212"/>
      <c r="AE157" s="224"/>
      <c r="AF157" s="212"/>
      <c r="AG157" s="228"/>
      <c r="AH157" s="96"/>
    </row>
    <row r="158" spans="1:35" ht="24.75" customHeight="1" x14ac:dyDescent="0.3">
      <c r="A158" s="59"/>
      <c r="B158" s="6" t="s">
        <v>44</v>
      </c>
      <c r="C158" s="46"/>
      <c r="D158" s="14"/>
      <c r="E158" s="167"/>
      <c r="F158" s="243"/>
      <c r="G158" s="14"/>
      <c r="H158" s="140"/>
      <c r="I158" s="91"/>
      <c r="J158" s="243"/>
      <c r="K158" s="243"/>
      <c r="L158" s="48"/>
      <c r="M158" s="91"/>
      <c r="N158" s="84"/>
      <c r="O158" s="48"/>
      <c r="P158" s="91"/>
      <c r="Q158" s="84"/>
      <c r="R158" s="48"/>
      <c r="S158" s="91"/>
      <c r="T158" s="190"/>
      <c r="U158" s="50">
        <v>544200</v>
      </c>
      <c r="V158" s="204">
        <f>U158+T158</f>
        <v>544200</v>
      </c>
      <c r="W158" s="190"/>
      <c r="X158" s="190"/>
      <c r="Y158" s="204"/>
      <c r="Z158" s="190"/>
      <c r="AA158" s="190"/>
      <c r="AB158" s="204"/>
      <c r="AC158" s="212"/>
      <c r="AD158" s="212"/>
      <c r="AE158" s="224"/>
      <c r="AF158" s="212"/>
      <c r="AG158" s="228"/>
      <c r="AH158" s="96"/>
    </row>
    <row r="159" spans="1:35" ht="81" customHeight="1" x14ac:dyDescent="0.3">
      <c r="A159" s="59"/>
      <c r="B159" s="293" t="s">
        <v>90</v>
      </c>
      <c r="C159" s="46"/>
      <c r="D159" s="14">
        <v>2022</v>
      </c>
      <c r="E159" s="167"/>
      <c r="F159" s="297">
        <v>219.45</v>
      </c>
      <c r="G159" s="14"/>
      <c r="H159" s="140"/>
      <c r="I159" s="91">
        <v>461945</v>
      </c>
      <c r="J159" s="243"/>
      <c r="K159" s="243"/>
      <c r="L159" s="48"/>
      <c r="M159" s="91"/>
      <c r="N159" s="84"/>
      <c r="O159" s="48"/>
      <c r="P159" s="91"/>
      <c r="Q159" s="84"/>
      <c r="R159" s="48">
        <f>R160+R161</f>
        <v>21945</v>
      </c>
      <c r="S159" s="91">
        <f>S160+S161</f>
        <v>21945</v>
      </c>
      <c r="T159" s="190"/>
      <c r="U159" s="50">
        <f>U160+U161</f>
        <v>440000</v>
      </c>
      <c r="V159" s="204">
        <f>V160+V161</f>
        <v>440000</v>
      </c>
      <c r="W159" s="190"/>
      <c r="X159" s="190"/>
      <c r="Y159" s="204"/>
      <c r="Z159" s="190"/>
      <c r="AA159" s="190"/>
      <c r="AB159" s="204"/>
      <c r="AC159" s="212"/>
      <c r="AD159" s="212"/>
      <c r="AE159" s="224"/>
      <c r="AF159" s="212"/>
      <c r="AG159" s="228"/>
      <c r="AH159" s="96"/>
      <c r="AI159" s="40">
        <f>I159-S159-V159</f>
        <v>0</v>
      </c>
    </row>
    <row r="160" spans="1:35" ht="24.75" customHeight="1" x14ac:dyDescent="0.3">
      <c r="A160" s="59"/>
      <c r="B160" s="26" t="s">
        <v>22</v>
      </c>
      <c r="C160" s="33"/>
      <c r="D160" s="28"/>
      <c r="E160" s="19"/>
      <c r="F160" s="245"/>
      <c r="G160" s="28"/>
      <c r="H160" s="138"/>
      <c r="I160" s="92"/>
      <c r="J160" s="245"/>
      <c r="K160" s="245"/>
      <c r="L160" s="35"/>
      <c r="M160" s="92"/>
      <c r="N160" s="85"/>
      <c r="O160" s="35"/>
      <c r="P160" s="92"/>
      <c r="Q160" s="85"/>
      <c r="R160" s="35">
        <f>R162+R163</f>
        <v>21945</v>
      </c>
      <c r="S160" s="92">
        <f>S162+S163</f>
        <v>21945</v>
      </c>
      <c r="T160" s="189"/>
      <c r="U160" s="37">
        <f>U162+U163</f>
        <v>440000</v>
      </c>
      <c r="V160" s="203">
        <f>V162+V163</f>
        <v>440000</v>
      </c>
      <c r="W160" s="189"/>
      <c r="X160" s="189"/>
      <c r="Y160" s="203"/>
      <c r="Z160" s="189"/>
      <c r="AA160" s="189"/>
      <c r="AB160" s="203"/>
      <c r="AC160" s="198"/>
      <c r="AD160" s="198"/>
      <c r="AE160" s="216"/>
      <c r="AF160" s="198"/>
      <c r="AG160" s="227"/>
      <c r="AH160" s="235"/>
    </row>
    <row r="161" spans="1:35" ht="24.75" customHeight="1" x14ac:dyDescent="0.3">
      <c r="A161" s="59"/>
      <c r="B161" s="6" t="s">
        <v>23</v>
      </c>
      <c r="C161" s="46"/>
      <c r="D161" s="14"/>
      <c r="E161" s="167"/>
      <c r="F161" s="243"/>
      <c r="G161" s="14"/>
      <c r="H161" s="140"/>
      <c r="I161" s="91"/>
      <c r="J161" s="243"/>
      <c r="K161" s="243"/>
      <c r="L161" s="48"/>
      <c r="M161" s="91"/>
      <c r="N161" s="84"/>
      <c r="O161" s="48"/>
      <c r="P161" s="91"/>
      <c r="Q161" s="84"/>
      <c r="R161" s="48"/>
      <c r="S161" s="91"/>
      <c r="T161" s="190"/>
      <c r="U161" s="50"/>
      <c r="V161" s="204"/>
      <c r="W161" s="190"/>
      <c r="X161" s="190"/>
      <c r="Y161" s="204"/>
      <c r="Z161" s="190"/>
      <c r="AA161" s="190"/>
      <c r="AB161" s="204"/>
      <c r="AC161" s="212"/>
      <c r="AD161" s="212"/>
      <c r="AE161" s="224"/>
      <c r="AF161" s="212"/>
      <c r="AG161" s="228"/>
      <c r="AH161" s="96"/>
    </row>
    <row r="162" spans="1:35" ht="24.75" customHeight="1" x14ac:dyDescent="0.3">
      <c r="A162" s="59"/>
      <c r="B162" s="6" t="s">
        <v>35</v>
      </c>
      <c r="C162" s="46"/>
      <c r="D162" s="14"/>
      <c r="E162" s="167"/>
      <c r="F162" s="243"/>
      <c r="G162" s="14"/>
      <c r="H162" s="140"/>
      <c r="I162" s="91"/>
      <c r="J162" s="243"/>
      <c r="K162" s="243"/>
      <c r="L162" s="48"/>
      <c r="M162" s="91"/>
      <c r="N162" s="84"/>
      <c r="O162" s="48"/>
      <c r="P162" s="91"/>
      <c r="Q162" s="84"/>
      <c r="R162" s="48">
        <v>21945</v>
      </c>
      <c r="S162" s="91">
        <f>Q162+R162</f>
        <v>21945</v>
      </c>
      <c r="T162" s="190"/>
      <c r="U162" s="50"/>
      <c r="V162" s="204"/>
      <c r="W162" s="190"/>
      <c r="X162" s="190"/>
      <c r="Y162" s="204"/>
      <c r="Z162" s="190"/>
      <c r="AA162" s="190"/>
      <c r="AB162" s="204"/>
      <c r="AC162" s="212"/>
      <c r="AD162" s="212"/>
      <c r="AE162" s="224"/>
      <c r="AF162" s="212"/>
      <c r="AG162" s="228"/>
      <c r="AH162" s="96"/>
    </row>
    <row r="163" spans="1:35" ht="24.75" customHeight="1" x14ac:dyDescent="0.3">
      <c r="A163" s="59"/>
      <c r="B163" s="6" t="s">
        <v>44</v>
      </c>
      <c r="C163" s="46"/>
      <c r="D163" s="14"/>
      <c r="E163" s="167"/>
      <c r="F163" s="243"/>
      <c r="G163" s="14"/>
      <c r="H163" s="140"/>
      <c r="I163" s="91"/>
      <c r="J163" s="243"/>
      <c r="K163" s="243"/>
      <c r="L163" s="48"/>
      <c r="M163" s="91"/>
      <c r="N163" s="84"/>
      <c r="O163" s="48"/>
      <c r="P163" s="91"/>
      <c r="Q163" s="84"/>
      <c r="R163" s="48"/>
      <c r="S163" s="91"/>
      <c r="T163" s="190"/>
      <c r="U163" s="50">
        <v>440000</v>
      </c>
      <c r="V163" s="204">
        <f>T163+U163</f>
        <v>440000</v>
      </c>
      <c r="W163" s="190"/>
      <c r="X163" s="190"/>
      <c r="Y163" s="204"/>
      <c r="Z163" s="190"/>
      <c r="AA163" s="190"/>
      <c r="AB163" s="204"/>
      <c r="AC163" s="212"/>
      <c r="AD163" s="212"/>
      <c r="AE163" s="224"/>
      <c r="AF163" s="212"/>
      <c r="AG163" s="228"/>
      <c r="AH163" s="96"/>
    </row>
    <row r="164" spans="1:35" ht="81" customHeight="1" x14ac:dyDescent="0.3">
      <c r="A164" s="59"/>
      <c r="B164" s="293" t="s">
        <v>91</v>
      </c>
      <c r="C164" s="46"/>
      <c r="D164" s="14">
        <v>2022</v>
      </c>
      <c r="E164" s="167"/>
      <c r="F164" s="297">
        <v>140.71</v>
      </c>
      <c r="G164" s="14"/>
      <c r="H164" s="140"/>
      <c r="I164" s="91">
        <v>614500</v>
      </c>
      <c r="J164" s="243"/>
      <c r="K164" s="243"/>
      <c r="L164" s="48"/>
      <c r="M164" s="91"/>
      <c r="N164" s="84"/>
      <c r="O164" s="48"/>
      <c r="P164" s="91"/>
      <c r="Q164" s="84"/>
      <c r="R164" s="48">
        <f>R165+R166</f>
        <v>14500</v>
      </c>
      <c r="S164" s="91">
        <f>S165+S166</f>
        <v>14500</v>
      </c>
      <c r="T164" s="190"/>
      <c r="U164" s="50">
        <f>U165+U166</f>
        <v>600000</v>
      </c>
      <c r="V164" s="204">
        <f>V165+V166</f>
        <v>600000</v>
      </c>
      <c r="W164" s="190"/>
      <c r="X164" s="190"/>
      <c r="Y164" s="204"/>
      <c r="Z164" s="190"/>
      <c r="AA164" s="190"/>
      <c r="AB164" s="204"/>
      <c r="AC164" s="212"/>
      <c r="AD164" s="212"/>
      <c r="AE164" s="224"/>
      <c r="AF164" s="212"/>
      <c r="AG164" s="228"/>
      <c r="AH164" s="96"/>
      <c r="AI164" s="40">
        <f>I164-S164-V164</f>
        <v>0</v>
      </c>
    </row>
    <row r="165" spans="1:35" ht="24.75" customHeight="1" x14ac:dyDescent="0.3">
      <c r="A165" s="59"/>
      <c r="B165" s="26" t="s">
        <v>22</v>
      </c>
      <c r="C165" s="33"/>
      <c r="D165" s="28"/>
      <c r="E165" s="19"/>
      <c r="F165" s="245"/>
      <c r="G165" s="28"/>
      <c r="H165" s="138"/>
      <c r="I165" s="92"/>
      <c r="J165" s="245"/>
      <c r="K165" s="245"/>
      <c r="L165" s="35"/>
      <c r="M165" s="92"/>
      <c r="N165" s="85"/>
      <c r="O165" s="35"/>
      <c r="P165" s="92"/>
      <c r="Q165" s="85"/>
      <c r="R165" s="35">
        <f>R167+R168</f>
        <v>14500</v>
      </c>
      <c r="S165" s="92">
        <f>S167+S168</f>
        <v>14500</v>
      </c>
      <c r="T165" s="189"/>
      <c r="U165" s="37">
        <f>U167+U168</f>
        <v>600000</v>
      </c>
      <c r="V165" s="203">
        <f>V167+V168</f>
        <v>600000</v>
      </c>
      <c r="W165" s="189"/>
      <c r="X165" s="189"/>
      <c r="Y165" s="203"/>
      <c r="Z165" s="189"/>
      <c r="AA165" s="189"/>
      <c r="AB165" s="203"/>
      <c r="AC165" s="198"/>
      <c r="AD165" s="198"/>
      <c r="AE165" s="216"/>
      <c r="AF165" s="198"/>
      <c r="AG165" s="227"/>
      <c r="AH165" s="235"/>
    </row>
    <row r="166" spans="1:35" ht="24.75" customHeight="1" x14ac:dyDescent="0.3">
      <c r="A166" s="59"/>
      <c r="B166" s="6" t="s">
        <v>23</v>
      </c>
      <c r="C166" s="46"/>
      <c r="D166" s="14"/>
      <c r="E166" s="167"/>
      <c r="F166" s="243"/>
      <c r="G166" s="14"/>
      <c r="H166" s="140"/>
      <c r="I166" s="91"/>
      <c r="J166" s="243"/>
      <c r="K166" s="243"/>
      <c r="L166" s="48"/>
      <c r="M166" s="91"/>
      <c r="N166" s="84"/>
      <c r="O166" s="48"/>
      <c r="P166" s="91"/>
      <c r="Q166" s="84"/>
      <c r="R166" s="48"/>
      <c r="S166" s="91"/>
      <c r="T166" s="190"/>
      <c r="U166" s="50"/>
      <c r="V166" s="204"/>
      <c r="W166" s="190"/>
      <c r="X166" s="190"/>
      <c r="Y166" s="204"/>
      <c r="Z166" s="190"/>
      <c r="AA166" s="190"/>
      <c r="AB166" s="204"/>
      <c r="AC166" s="212"/>
      <c r="AD166" s="212"/>
      <c r="AE166" s="224"/>
      <c r="AF166" s="212"/>
      <c r="AG166" s="228"/>
      <c r="AH166" s="96"/>
    </row>
    <row r="167" spans="1:35" ht="24.75" customHeight="1" x14ac:dyDescent="0.3">
      <c r="A167" s="59"/>
      <c r="B167" s="6" t="s">
        <v>35</v>
      </c>
      <c r="C167" s="46"/>
      <c r="D167" s="14"/>
      <c r="E167" s="167"/>
      <c r="F167" s="243"/>
      <c r="G167" s="14"/>
      <c r="H167" s="140"/>
      <c r="I167" s="91"/>
      <c r="J167" s="243"/>
      <c r="K167" s="243"/>
      <c r="L167" s="48"/>
      <c r="M167" s="91"/>
      <c r="N167" s="84"/>
      <c r="O167" s="48"/>
      <c r="P167" s="91"/>
      <c r="Q167" s="84"/>
      <c r="R167" s="48">
        <v>14500</v>
      </c>
      <c r="S167" s="91">
        <f>Q167+R167</f>
        <v>14500</v>
      </c>
      <c r="T167" s="190"/>
      <c r="U167" s="50"/>
      <c r="V167" s="204"/>
      <c r="W167" s="190"/>
      <c r="X167" s="190"/>
      <c r="Y167" s="204"/>
      <c r="Z167" s="190"/>
      <c r="AA167" s="190"/>
      <c r="AB167" s="204"/>
      <c r="AC167" s="212"/>
      <c r="AD167" s="212"/>
      <c r="AE167" s="224"/>
      <c r="AF167" s="212"/>
      <c r="AG167" s="228"/>
      <c r="AH167" s="96"/>
    </row>
    <row r="168" spans="1:35" ht="24.75" customHeight="1" x14ac:dyDescent="0.3">
      <c r="A168" s="59"/>
      <c r="B168" s="6" t="s">
        <v>44</v>
      </c>
      <c r="C168" s="46"/>
      <c r="D168" s="14"/>
      <c r="E168" s="167"/>
      <c r="F168" s="243"/>
      <c r="G168" s="14"/>
      <c r="H168" s="140"/>
      <c r="I168" s="91"/>
      <c r="J168" s="243"/>
      <c r="K168" s="243"/>
      <c r="L168" s="48"/>
      <c r="M168" s="91"/>
      <c r="N168" s="84"/>
      <c r="O168" s="48"/>
      <c r="P168" s="91"/>
      <c r="Q168" s="84"/>
      <c r="R168" s="48"/>
      <c r="S168" s="91"/>
      <c r="T168" s="190"/>
      <c r="U168" s="50">
        <v>600000</v>
      </c>
      <c r="V168" s="204">
        <f>T168+U168</f>
        <v>600000</v>
      </c>
      <c r="W168" s="190"/>
      <c r="X168" s="190"/>
      <c r="Y168" s="204"/>
      <c r="Z168" s="190"/>
      <c r="AA168" s="190"/>
      <c r="AB168" s="204"/>
      <c r="AC168" s="212"/>
      <c r="AD168" s="212"/>
      <c r="AE168" s="224"/>
      <c r="AF168" s="212"/>
      <c r="AG168" s="228"/>
      <c r="AH168" s="96"/>
    </row>
    <row r="169" spans="1:35" ht="28.5" hidden="1" customHeight="1" x14ac:dyDescent="0.3">
      <c r="A169" s="59"/>
      <c r="B169" s="42" t="s">
        <v>83</v>
      </c>
      <c r="C169" s="78"/>
      <c r="D169" s="79"/>
      <c r="E169" s="79"/>
      <c r="F169" s="81"/>
      <c r="G169" s="79"/>
      <c r="H169" s="144"/>
      <c r="I169" s="94"/>
      <c r="J169" s="86"/>
      <c r="K169" s="82"/>
      <c r="L169" s="80"/>
      <c r="M169" s="94">
        <v>0</v>
      </c>
      <c r="N169" s="86"/>
      <c r="O169" s="80"/>
      <c r="P169" s="94">
        <f t="shared" si="151"/>
        <v>0</v>
      </c>
      <c r="Q169" s="309">
        <f>28641.6+450000</f>
        <v>478641.6</v>
      </c>
      <c r="R169" s="160">
        <v>-478641.6</v>
      </c>
      <c r="S169" s="94">
        <f t="shared" si="152"/>
        <v>0</v>
      </c>
      <c r="T169" s="195"/>
      <c r="U169" s="119"/>
      <c r="V169" s="210"/>
      <c r="W169" s="194"/>
      <c r="X169" s="117"/>
      <c r="Y169" s="209">
        <f t="shared" ref="Y169" si="176">W169+X169</f>
        <v>0</v>
      </c>
      <c r="Z169" s="214"/>
      <c r="AA169" s="118"/>
      <c r="AB169" s="209">
        <f t="shared" ref="AB169" si="177">Z169+AA169</f>
        <v>0</v>
      </c>
      <c r="AC169" s="214"/>
      <c r="AD169" s="118"/>
      <c r="AE169" s="210">
        <f t="shared" ref="AE169" si="178">AC169+AD169</f>
        <v>0</v>
      </c>
      <c r="AF169" s="214"/>
      <c r="AG169" s="270"/>
      <c r="AH169" s="271">
        <f t="shared" ref="AH169" si="179">AF169+AG169</f>
        <v>0</v>
      </c>
    </row>
    <row r="170" spans="1:35" ht="49.5" customHeight="1" x14ac:dyDescent="0.3">
      <c r="A170" s="59"/>
      <c r="B170" s="22" t="s">
        <v>37</v>
      </c>
      <c r="C170" s="2"/>
      <c r="D170" s="2"/>
      <c r="E170" s="2"/>
      <c r="F170" s="2"/>
      <c r="G170" s="2"/>
      <c r="H170" s="145"/>
      <c r="I170" s="96"/>
      <c r="J170" s="87"/>
      <c r="K170" s="2"/>
      <c r="L170" s="2"/>
      <c r="M170" s="184">
        <v>0</v>
      </c>
      <c r="N170" s="112">
        <v>9430</v>
      </c>
      <c r="O170" s="112"/>
      <c r="P170" s="184">
        <f>N170+O170</f>
        <v>9430</v>
      </c>
      <c r="Q170" s="178">
        <f>31410.3-29-20000-9430</f>
        <v>1951.2999999999993</v>
      </c>
      <c r="R170" s="112">
        <v>-1951.3</v>
      </c>
      <c r="S170" s="184">
        <f>Q170+R170</f>
        <v>0</v>
      </c>
      <c r="T170" s="178">
        <v>30040</v>
      </c>
      <c r="U170" s="112">
        <v>-2522.3000000000002</v>
      </c>
      <c r="V170" s="184">
        <f>T170+U170</f>
        <v>27517.7</v>
      </c>
      <c r="W170" s="178">
        <v>30000</v>
      </c>
      <c r="X170" s="112"/>
      <c r="Y170" s="184">
        <f>W170+X170</f>
        <v>30000</v>
      </c>
      <c r="Z170" s="178">
        <v>30000</v>
      </c>
      <c r="AA170" s="112"/>
      <c r="AB170" s="184">
        <f>Z170+AA170</f>
        <v>30000</v>
      </c>
      <c r="AC170" s="178">
        <v>30000</v>
      </c>
      <c r="AD170" s="112"/>
      <c r="AE170" s="184">
        <f>AC170+AD170</f>
        <v>30000</v>
      </c>
      <c r="AF170" s="178">
        <v>30000</v>
      </c>
      <c r="AG170" s="2"/>
      <c r="AH170" s="184">
        <f>AF170+AG170</f>
        <v>30000</v>
      </c>
    </row>
    <row r="171" spans="1:35" x14ac:dyDescent="0.3">
      <c r="B171" s="21"/>
    </row>
    <row r="172" spans="1:35" ht="18" x14ac:dyDescent="0.35">
      <c r="A172" s="337" t="s">
        <v>28</v>
      </c>
      <c r="B172" s="337"/>
      <c r="C172" s="337"/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337"/>
      <c r="P172" s="337"/>
      <c r="Q172" s="337" t="s">
        <v>106</v>
      </c>
    </row>
  </sheetData>
  <mergeCells count="13">
    <mergeCell ref="J6:L6"/>
    <mergeCell ref="J14:J16"/>
    <mergeCell ref="A3:T3"/>
    <mergeCell ref="A4:T4"/>
    <mergeCell ref="A6:A7"/>
    <mergeCell ref="B6:B7"/>
    <mergeCell ref="C6:C7"/>
    <mergeCell ref="D6:D7"/>
    <mergeCell ref="E6:F6"/>
    <mergeCell ref="G6:G7"/>
    <mergeCell ref="H6:H7"/>
    <mergeCell ref="I6:I7"/>
    <mergeCell ref="M6:AH6"/>
  </mergeCells>
  <pageMargins left="0.19685039370078741" right="0.19685039370078741" top="0.19685039370078741" bottom="0.19685039370078741" header="0.11811023622047245" footer="0.11811023622047245"/>
  <pageSetup paperSize="8" scale="57" fitToHeight="10" orientation="landscape" r:id="rId1"/>
  <headerFoot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2"/>
  <sheetViews>
    <sheetView zoomScale="85" zoomScaleNormal="85" workbookViewId="0">
      <pane xSplit="2" ySplit="12" topLeftCell="D120" activePane="bottomRight" state="frozen"/>
      <selection pane="topRight" activeCell="C1" sqref="C1"/>
      <selection pane="bottomLeft" activeCell="A13" sqref="A13"/>
      <selection pane="bottomRight" activeCell="B159" sqref="B159"/>
    </sheetView>
  </sheetViews>
  <sheetFormatPr defaultRowHeight="14.4" outlineLevelRow="1" x14ac:dyDescent="0.3"/>
  <cols>
    <col min="1" max="1" width="4.6640625" customWidth="1"/>
    <col min="2" max="2" width="29.88671875" customWidth="1"/>
    <col min="3" max="3" width="16.109375" hidden="1" customWidth="1"/>
    <col min="4" max="4" width="7.44140625" customWidth="1"/>
    <col min="6" max="6" width="9.88671875" customWidth="1"/>
    <col min="7" max="7" width="11.5546875" hidden="1" customWidth="1"/>
    <col min="8" max="8" width="12.5546875" hidden="1" customWidth="1"/>
    <col min="9" max="9" width="13.88671875" customWidth="1"/>
    <col min="10" max="10" width="9.6640625" hidden="1" customWidth="1"/>
    <col min="11" max="11" width="9.44140625" hidden="1" customWidth="1"/>
    <col min="12" max="12" width="15" hidden="1" customWidth="1"/>
    <col min="13" max="13" width="12.6640625" customWidth="1"/>
    <col min="14" max="14" width="13" customWidth="1"/>
    <col min="15" max="15" width="13.44140625" customWidth="1"/>
    <col min="16" max="16" width="11.109375" customWidth="1"/>
    <col min="17" max="17" width="13.33203125" customWidth="1"/>
    <col min="18" max="18" width="14.44140625" customWidth="1"/>
    <col min="19" max="19" width="12.109375" customWidth="1"/>
    <col min="20" max="22" width="12.6640625" customWidth="1"/>
    <col min="23" max="23" width="13" customWidth="1"/>
    <col min="24" max="24" width="12.44140625" customWidth="1"/>
    <col min="25" max="25" width="13" customWidth="1"/>
    <col min="26" max="28" width="13.109375" customWidth="1"/>
    <col min="29" max="29" width="13" customWidth="1"/>
    <col min="30" max="30" width="12.5546875" customWidth="1"/>
    <col min="31" max="31" width="13" customWidth="1"/>
    <col min="32" max="32" width="12.6640625" customWidth="1"/>
    <col min="33" max="33" width="12.5546875" customWidth="1"/>
    <col min="34" max="34" width="12.88671875" customWidth="1"/>
    <col min="35" max="35" width="15.109375" customWidth="1"/>
    <col min="36" max="36" width="12.6640625" customWidth="1"/>
  </cols>
  <sheetData>
    <row r="1" spans="1:36" ht="18" x14ac:dyDescent="0.3">
      <c r="M1" s="41"/>
      <c r="N1" s="24"/>
      <c r="O1" s="24"/>
      <c r="P1" s="24"/>
      <c r="Q1" s="25" t="s">
        <v>30</v>
      </c>
      <c r="R1" s="25"/>
      <c r="S1" s="25"/>
    </row>
    <row r="2" spans="1:36" ht="18" x14ac:dyDescent="0.35">
      <c r="N2" s="23"/>
      <c r="O2" s="23"/>
      <c r="P2" s="23"/>
      <c r="Q2" s="1" t="s">
        <v>31</v>
      </c>
      <c r="R2" s="1"/>
      <c r="S2" s="1"/>
    </row>
    <row r="3" spans="1:36" ht="18" x14ac:dyDescent="0.35">
      <c r="A3" s="390" t="s">
        <v>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41"/>
      <c r="V3" s="341"/>
    </row>
    <row r="4" spans="1:36" ht="39.75" customHeight="1" x14ac:dyDescent="0.3">
      <c r="A4" s="391" t="s">
        <v>93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42"/>
      <c r="V4" s="342"/>
    </row>
    <row r="5" spans="1:36" ht="13.5" customHeight="1" x14ac:dyDescent="0.35">
      <c r="A5" s="1"/>
      <c r="N5" s="122" t="s">
        <v>108</v>
      </c>
      <c r="AH5" t="s">
        <v>107</v>
      </c>
    </row>
    <row r="6" spans="1:36" ht="45.75" customHeight="1" x14ac:dyDescent="0.3">
      <c r="A6" s="392" t="s">
        <v>3</v>
      </c>
      <c r="B6" s="386" t="s">
        <v>1</v>
      </c>
      <c r="C6" s="386" t="s">
        <v>2</v>
      </c>
      <c r="D6" s="386" t="s">
        <v>4</v>
      </c>
      <c r="E6" s="386" t="s">
        <v>5</v>
      </c>
      <c r="F6" s="386"/>
      <c r="G6" s="394" t="s">
        <v>29</v>
      </c>
      <c r="H6" s="394" t="s">
        <v>63</v>
      </c>
      <c r="I6" s="396" t="s">
        <v>7</v>
      </c>
      <c r="J6" s="385" t="s">
        <v>8</v>
      </c>
      <c r="K6" s="386"/>
      <c r="L6" s="386"/>
      <c r="M6" s="386" t="s">
        <v>85</v>
      </c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294"/>
      <c r="AJ6" s="294"/>
    </row>
    <row r="7" spans="1:36" ht="90.75" customHeight="1" x14ac:dyDescent="0.3">
      <c r="A7" s="393"/>
      <c r="B7" s="386"/>
      <c r="C7" s="386"/>
      <c r="D7" s="386"/>
      <c r="E7" s="339" t="s">
        <v>6</v>
      </c>
      <c r="F7" s="339" t="s">
        <v>19</v>
      </c>
      <c r="G7" s="395"/>
      <c r="H7" s="395"/>
      <c r="I7" s="396"/>
      <c r="J7" s="338" t="s">
        <v>6</v>
      </c>
      <c r="K7" s="339" t="s">
        <v>9</v>
      </c>
      <c r="L7" s="339" t="s">
        <v>10</v>
      </c>
      <c r="M7" s="171" t="s">
        <v>43</v>
      </c>
      <c r="N7" s="338" t="s">
        <v>11</v>
      </c>
      <c r="O7" s="14" t="s">
        <v>33</v>
      </c>
      <c r="P7" s="171" t="s">
        <v>46</v>
      </c>
      <c r="Q7" s="338" t="s">
        <v>12</v>
      </c>
      <c r="R7" s="14" t="s">
        <v>33</v>
      </c>
      <c r="S7" s="171" t="s">
        <v>53</v>
      </c>
      <c r="T7" s="338" t="s">
        <v>13</v>
      </c>
      <c r="U7" s="14" t="s">
        <v>33</v>
      </c>
      <c r="V7" s="171" t="s">
        <v>73</v>
      </c>
      <c r="W7" s="338" t="s">
        <v>40</v>
      </c>
      <c r="X7" s="14" t="s">
        <v>33</v>
      </c>
      <c r="Y7" s="171" t="s">
        <v>74</v>
      </c>
      <c r="Z7" s="338" t="s">
        <v>41</v>
      </c>
      <c r="AA7" s="14" t="s">
        <v>33</v>
      </c>
      <c r="AB7" s="171" t="s">
        <v>75</v>
      </c>
      <c r="AC7" s="338" t="s">
        <v>42</v>
      </c>
      <c r="AD7" s="14" t="s">
        <v>33</v>
      </c>
      <c r="AE7" s="171" t="s">
        <v>76</v>
      </c>
      <c r="AF7" s="172" t="s">
        <v>45</v>
      </c>
      <c r="AG7" s="14" t="s">
        <v>33</v>
      </c>
      <c r="AH7" s="171" t="s">
        <v>77</v>
      </c>
    </row>
    <row r="8" spans="1:36" ht="30.75" customHeight="1" x14ac:dyDescent="0.3">
      <c r="A8" s="2"/>
      <c r="B8" s="3" t="s">
        <v>34</v>
      </c>
      <c r="C8" s="4"/>
      <c r="D8" s="5"/>
      <c r="E8" s="11">
        <f>SUM(E14:E168)</f>
        <v>326.23700000000002</v>
      </c>
      <c r="F8" s="11">
        <f>SUM(F14:F168)</f>
        <v>2568.31</v>
      </c>
      <c r="G8" s="11">
        <f>SUM(G14:G168)</f>
        <v>20.720400000000001</v>
      </c>
      <c r="H8" s="135"/>
      <c r="I8" s="88">
        <f>SUM(I14:I168)</f>
        <v>51899586.467999995</v>
      </c>
      <c r="J8" s="83" t="e">
        <f>SUM(J14:J168)+#REF!</f>
        <v>#REF!</v>
      </c>
      <c r="K8" s="11" t="e">
        <f>SUM(K14:K168)+#REF!</f>
        <v>#REF!</v>
      </c>
      <c r="L8" s="11" t="e">
        <f>#REF!+L14+#REF!+L19+#REF!+L24+#REF!+#REF!+#REF!+#REF!+#REF!+#REF!+#REF!+#REF!+#REF!+#REF!+#REF!+#REF!+#REF!+#REF!+#REF!+#REF!+#REF!+#REF!+#REF!+#REF!+#REF!+#REF!+#REF!+#REF!+#REF!+#REF!+#REF!+#REF!+L124+L129+#REF!+#REF!+#REF!+L170</f>
        <v>#REF!</v>
      </c>
      <c r="M8" s="179">
        <f>M11+M12</f>
        <v>414849.9</v>
      </c>
      <c r="N8" s="306">
        <f t="shared" ref="N8:AH8" si="0">N11+N12</f>
        <v>352561.7</v>
      </c>
      <c r="O8" s="71">
        <f t="shared" si="0"/>
        <v>21801.5</v>
      </c>
      <c r="P8" s="307">
        <f t="shared" si="0"/>
        <v>374363.2</v>
      </c>
      <c r="Q8" s="308">
        <f t="shared" si="0"/>
        <v>1006174.2</v>
      </c>
      <c r="R8" s="71">
        <f t="shared" si="0"/>
        <v>615057.69999999995</v>
      </c>
      <c r="S8" s="307">
        <f t="shared" si="0"/>
        <v>1621231.9</v>
      </c>
      <c r="T8" s="308">
        <f t="shared" si="0"/>
        <v>1634718</v>
      </c>
      <c r="U8" s="71">
        <f t="shared" si="0"/>
        <v>3591782.8000000003</v>
      </c>
      <c r="V8" s="307">
        <f t="shared" si="0"/>
        <v>5226500.8</v>
      </c>
      <c r="W8" s="308">
        <f t="shared" si="0"/>
        <v>7353775.5</v>
      </c>
      <c r="X8" s="71">
        <f t="shared" si="0"/>
        <v>-1011314</v>
      </c>
      <c r="Y8" s="307">
        <f t="shared" si="0"/>
        <v>6342461.5</v>
      </c>
      <c r="Z8" s="308">
        <f t="shared" si="0"/>
        <v>9286296.5999999996</v>
      </c>
      <c r="AA8" s="71">
        <f t="shared" si="0"/>
        <v>-2917419.6</v>
      </c>
      <c r="AB8" s="307">
        <f t="shared" si="0"/>
        <v>6368877</v>
      </c>
      <c r="AC8" s="308">
        <f t="shared" si="0"/>
        <v>7353392.5999999996</v>
      </c>
      <c r="AD8" s="71">
        <f t="shared" si="0"/>
        <v>3743698.7</v>
      </c>
      <c r="AE8" s="307">
        <f t="shared" si="0"/>
        <v>11097091.299999999</v>
      </c>
      <c r="AF8" s="308">
        <f t="shared" si="0"/>
        <v>7749041.5</v>
      </c>
      <c r="AG8" s="71">
        <f t="shared" si="0"/>
        <v>11863005</v>
      </c>
      <c r="AH8" s="307">
        <f t="shared" si="0"/>
        <v>19612046.5</v>
      </c>
    </row>
    <row r="9" spans="1:36" ht="27.75" hidden="1" customHeight="1" outlineLevel="1" x14ac:dyDescent="0.3">
      <c r="A9" s="2"/>
      <c r="B9" s="39" t="s">
        <v>95</v>
      </c>
      <c r="C9" s="4"/>
      <c r="D9" s="5"/>
      <c r="E9" s="11"/>
      <c r="F9" s="11"/>
      <c r="G9" s="11"/>
      <c r="H9" s="135"/>
      <c r="I9" s="88"/>
      <c r="J9" s="83"/>
      <c r="K9" s="11"/>
      <c r="L9" s="11"/>
      <c r="M9" s="179">
        <f>M10+M11</f>
        <v>0</v>
      </c>
      <c r="N9" s="174">
        <f>N10+N11</f>
        <v>100000</v>
      </c>
      <c r="O9" s="174">
        <f t="shared" ref="O9:P9" si="1">O10+O11</f>
        <v>21801.5</v>
      </c>
      <c r="P9" s="179">
        <f t="shared" si="1"/>
        <v>121801.5</v>
      </c>
      <c r="Q9" s="174">
        <f>Q10+Q11</f>
        <v>1350000</v>
      </c>
      <c r="R9" s="174">
        <f t="shared" ref="R9:S9" si="2">R10+R11</f>
        <v>97800</v>
      </c>
      <c r="S9" s="179">
        <f t="shared" si="2"/>
        <v>1447800</v>
      </c>
      <c r="T9" s="174">
        <f>T10+T11</f>
        <v>1418200</v>
      </c>
      <c r="U9" s="174">
        <f t="shared" ref="U9:V9" si="3">U10+U11</f>
        <v>3472345.2</v>
      </c>
      <c r="V9" s="179">
        <f t="shared" si="3"/>
        <v>4890545.2</v>
      </c>
      <c r="W9" s="174">
        <f>W10+W11</f>
        <v>6779276.7999999998</v>
      </c>
      <c r="X9" s="174">
        <f t="shared" ref="X9:Y9" si="4">X10+X11</f>
        <v>-623153.69999999995</v>
      </c>
      <c r="Y9" s="179">
        <f t="shared" si="4"/>
        <v>6156123.0999999996</v>
      </c>
      <c r="Z9" s="174">
        <f>Z10+Z11</f>
        <v>8894819.5</v>
      </c>
      <c r="AA9" s="174">
        <f t="shared" ref="AA9:AB9" si="5">AA10+AA11</f>
        <v>-2737116.6</v>
      </c>
      <c r="AB9" s="179">
        <f t="shared" si="5"/>
        <v>6157702.9000000004</v>
      </c>
      <c r="AC9" s="174">
        <f>AC10+AC11</f>
        <v>7323392.5999999996</v>
      </c>
      <c r="AD9" s="174">
        <f t="shared" ref="AD9:AE9" si="6">AD10+AD11</f>
        <v>3678423.1</v>
      </c>
      <c r="AE9" s="179">
        <f t="shared" si="6"/>
        <v>11001815.699999999</v>
      </c>
      <c r="AF9" s="174">
        <f>AF10+AF11</f>
        <v>7719041.5</v>
      </c>
      <c r="AG9" s="174">
        <f t="shared" ref="AG9:AH9" si="7">AG10+AG11</f>
        <v>11863005</v>
      </c>
      <c r="AH9" s="179">
        <f t="shared" si="7"/>
        <v>19582046.5</v>
      </c>
    </row>
    <row r="10" spans="1:36" ht="17.25" hidden="1" customHeight="1" outlineLevel="1" x14ac:dyDescent="0.3">
      <c r="A10" s="2"/>
      <c r="B10" s="39" t="s">
        <v>83</v>
      </c>
      <c r="C10" s="4"/>
      <c r="D10" s="5"/>
      <c r="E10" s="11"/>
      <c r="F10" s="11"/>
      <c r="G10" s="11"/>
      <c r="H10" s="135"/>
      <c r="I10" s="88"/>
      <c r="J10" s="83"/>
      <c r="K10" s="11"/>
      <c r="L10" s="11"/>
      <c r="M10" s="179">
        <f>M169</f>
        <v>0</v>
      </c>
      <c r="N10" s="179">
        <f t="shared" ref="N10:AH10" si="8">N169</f>
        <v>0</v>
      </c>
      <c r="O10" s="179">
        <f t="shared" si="8"/>
        <v>0</v>
      </c>
      <c r="P10" s="179">
        <f t="shared" si="8"/>
        <v>0</v>
      </c>
      <c r="Q10" s="307">
        <f t="shared" si="8"/>
        <v>478641.6</v>
      </c>
      <c r="R10" s="179">
        <f t="shared" si="8"/>
        <v>-478641.6</v>
      </c>
      <c r="S10" s="179">
        <f t="shared" si="8"/>
        <v>0</v>
      </c>
      <c r="T10" s="307">
        <f t="shared" si="8"/>
        <v>0</v>
      </c>
      <c r="U10" s="179">
        <f t="shared" si="8"/>
        <v>0</v>
      </c>
      <c r="V10" s="179">
        <f t="shared" si="8"/>
        <v>0</v>
      </c>
      <c r="W10" s="307">
        <f t="shared" si="8"/>
        <v>0</v>
      </c>
      <c r="X10" s="179">
        <f t="shared" si="8"/>
        <v>0</v>
      </c>
      <c r="Y10" s="179">
        <f t="shared" si="8"/>
        <v>0</v>
      </c>
      <c r="Z10" s="307">
        <f t="shared" si="8"/>
        <v>0</v>
      </c>
      <c r="AA10" s="179">
        <f t="shared" si="8"/>
        <v>0</v>
      </c>
      <c r="AB10" s="179">
        <f t="shared" si="8"/>
        <v>0</v>
      </c>
      <c r="AC10" s="307">
        <f t="shared" si="8"/>
        <v>0</v>
      </c>
      <c r="AD10" s="179">
        <f t="shared" si="8"/>
        <v>0</v>
      </c>
      <c r="AE10" s="179">
        <f t="shared" si="8"/>
        <v>0</v>
      </c>
      <c r="AF10" s="307">
        <f t="shared" si="8"/>
        <v>0</v>
      </c>
      <c r="AG10" s="179">
        <f t="shared" si="8"/>
        <v>0</v>
      </c>
      <c r="AH10" s="179">
        <f t="shared" si="8"/>
        <v>0</v>
      </c>
    </row>
    <row r="11" spans="1:36" ht="22.5" customHeight="1" outlineLevel="1" x14ac:dyDescent="0.3">
      <c r="A11" s="2"/>
      <c r="B11" s="3" t="s">
        <v>20</v>
      </c>
      <c r="C11" s="15"/>
      <c r="D11" s="5"/>
      <c r="E11" s="5"/>
      <c r="F11" s="5"/>
      <c r="G11" s="5"/>
      <c r="H11" s="136"/>
      <c r="I11" s="101"/>
      <c r="J11" s="97"/>
      <c r="K11" s="5"/>
      <c r="L11" s="15"/>
      <c r="M11" s="180">
        <f>M15+M20+M25+M30+M35+M40+M45+M55+M60+M65+M70+M75+M80+M85+M90+M110+M115+M120+M125+M130+M135+M50+M140+M145+M150+M155+M160+M165</f>
        <v>0</v>
      </c>
      <c r="N11" s="289">
        <f t="shared" ref="N11:AH11" si="9">N15+N20+N25+N30+N35+N40+N45+N55+N60+N65+N70+N75+N80+N85+N90+N110+N115+N120+N125+N130+N135+N50+N140+N145+N150+N155+N160+N165</f>
        <v>100000</v>
      </c>
      <c r="O11" s="77">
        <f t="shared" si="9"/>
        <v>21801.5</v>
      </c>
      <c r="P11" s="180">
        <f t="shared" si="9"/>
        <v>121801.5</v>
      </c>
      <c r="Q11" s="295">
        <f t="shared" si="9"/>
        <v>871358.4</v>
      </c>
      <c r="R11" s="77">
        <f t="shared" si="9"/>
        <v>576441.59999999998</v>
      </c>
      <c r="S11" s="180">
        <f t="shared" si="9"/>
        <v>1447800</v>
      </c>
      <c r="T11" s="295">
        <f t="shared" si="9"/>
        <v>1418200</v>
      </c>
      <c r="U11" s="77">
        <f t="shared" si="9"/>
        <v>3472345.2</v>
      </c>
      <c r="V11" s="180">
        <f t="shared" si="9"/>
        <v>4890545.2</v>
      </c>
      <c r="W11" s="295">
        <f t="shared" si="9"/>
        <v>6779276.7999999998</v>
      </c>
      <c r="X11" s="77">
        <f t="shared" si="9"/>
        <v>-623153.69999999995</v>
      </c>
      <c r="Y11" s="180">
        <f t="shared" si="9"/>
        <v>6156123.0999999996</v>
      </c>
      <c r="Z11" s="295">
        <f t="shared" si="9"/>
        <v>8894819.5</v>
      </c>
      <c r="AA11" s="77">
        <f t="shared" si="9"/>
        <v>-2737116.6</v>
      </c>
      <c r="AB11" s="180">
        <f t="shared" si="9"/>
        <v>6157702.9000000004</v>
      </c>
      <c r="AC11" s="295">
        <f t="shared" si="9"/>
        <v>7323392.5999999996</v>
      </c>
      <c r="AD11" s="77">
        <f t="shared" si="9"/>
        <v>3678423.1</v>
      </c>
      <c r="AE11" s="180">
        <f t="shared" si="9"/>
        <v>11001815.699999999</v>
      </c>
      <c r="AF11" s="295">
        <f t="shared" si="9"/>
        <v>7719041.5</v>
      </c>
      <c r="AG11" s="77">
        <f t="shared" si="9"/>
        <v>11863005</v>
      </c>
      <c r="AH11" s="180">
        <f t="shared" si="9"/>
        <v>19582046.5</v>
      </c>
    </row>
    <row r="12" spans="1:36" ht="19.5" customHeight="1" outlineLevel="1" x14ac:dyDescent="0.3">
      <c r="A12" s="2"/>
      <c r="B12" s="3" t="s">
        <v>21</v>
      </c>
      <c r="C12" s="15"/>
      <c r="D12" s="5"/>
      <c r="E12" s="5"/>
      <c r="F12" s="5"/>
      <c r="G12" s="5"/>
      <c r="H12" s="136"/>
      <c r="I12" s="101"/>
      <c r="J12" s="97"/>
      <c r="K12" s="5"/>
      <c r="L12" s="15"/>
      <c r="M12" s="180">
        <f>M16+M21+M24+M31+M36+M41+M46+M56+M61+M76+M81+M86+M91+M95+M97+M100+M103+M106+67767.4+M51+M111+M116+M121+M126+M131+M136+M141+M146+M151+M156+M161+M166</f>
        <v>414849.9</v>
      </c>
      <c r="N12" s="289">
        <f t="shared" ref="N12:AH12" si="10">N16+N21+N26+N31+N36+N41+N46+N51+N56+N61+N66+N71+N76+N81+N86+N91+N94+N97+N100+N103+N106+N111+N116+N121+N126+N131+N136+N141+N146+N151+N156+N161+N166+N170</f>
        <v>252561.7</v>
      </c>
      <c r="O12" s="289">
        <f t="shared" si="10"/>
        <v>0</v>
      </c>
      <c r="P12" s="180">
        <f t="shared" si="10"/>
        <v>252561.7</v>
      </c>
      <c r="Q12" s="295">
        <f t="shared" si="10"/>
        <v>134815.79999999996</v>
      </c>
      <c r="R12" s="289">
        <f t="shared" si="10"/>
        <v>38616.1</v>
      </c>
      <c r="S12" s="180">
        <f t="shared" si="10"/>
        <v>173431.9</v>
      </c>
      <c r="T12" s="295">
        <f t="shared" si="10"/>
        <v>216518</v>
      </c>
      <c r="U12" s="289">
        <f t="shared" si="10"/>
        <v>119437.6</v>
      </c>
      <c r="V12" s="180">
        <f t="shared" si="10"/>
        <v>335955.6</v>
      </c>
      <c r="W12" s="295">
        <f t="shared" si="10"/>
        <v>574498.69999999995</v>
      </c>
      <c r="X12" s="289">
        <f t="shared" si="10"/>
        <v>-388160.3</v>
      </c>
      <c r="Y12" s="180">
        <f t="shared" si="10"/>
        <v>186338.4</v>
      </c>
      <c r="Z12" s="295">
        <f t="shared" si="10"/>
        <v>391477.1</v>
      </c>
      <c r="AA12" s="289">
        <f t="shared" si="10"/>
        <v>-180303</v>
      </c>
      <c r="AB12" s="180">
        <f t="shared" si="10"/>
        <v>211174.10000000003</v>
      </c>
      <c r="AC12" s="295">
        <f t="shared" si="10"/>
        <v>30000</v>
      </c>
      <c r="AD12" s="289">
        <f t="shared" si="10"/>
        <v>65275.600000000006</v>
      </c>
      <c r="AE12" s="180">
        <f t="shared" si="10"/>
        <v>95275.6</v>
      </c>
      <c r="AF12" s="295">
        <f t="shared" si="10"/>
        <v>30000</v>
      </c>
      <c r="AG12" s="289">
        <f t="shared" si="10"/>
        <v>0</v>
      </c>
      <c r="AH12" s="180">
        <f t="shared" si="10"/>
        <v>30000</v>
      </c>
    </row>
    <row r="13" spans="1:36" ht="15" customHeight="1" outlineLevel="1" x14ac:dyDescent="0.3">
      <c r="A13" s="2"/>
      <c r="B13" s="6" t="s">
        <v>14</v>
      </c>
      <c r="C13" s="4"/>
      <c r="D13" s="5"/>
      <c r="E13" s="5"/>
      <c r="F13" s="5"/>
      <c r="G13" s="5"/>
      <c r="H13" s="136"/>
      <c r="I13" s="101"/>
      <c r="J13" s="97"/>
      <c r="K13" s="5"/>
      <c r="L13" s="4"/>
      <c r="M13" s="88"/>
      <c r="N13" s="83"/>
      <c r="O13" s="11"/>
      <c r="P13" s="88"/>
      <c r="Q13" s="83"/>
      <c r="R13" s="11"/>
      <c r="S13" s="88"/>
      <c r="T13" s="83"/>
      <c r="U13" s="11"/>
      <c r="V13" s="88"/>
      <c r="W13" s="87"/>
      <c r="X13" s="2"/>
      <c r="Y13" s="96"/>
      <c r="Z13" s="87"/>
      <c r="AA13" s="2"/>
      <c r="AB13" s="96"/>
      <c r="AC13" s="87"/>
      <c r="AD13" s="2"/>
      <c r="AE13" s="96"/>
      <c r="AF13" s="87"/>
      <c r="AG13" s="2"/>
      <c r="AH13" s="96"/>
    </row>
    <row r="14" spans="1:36" ht="92.25" customHeight="1" x14ac:dyDescent="0.3">
      <c r="A14" s="339">
        <v>2</v>
      </c>
      <c r="B14" s="6" t="s">
        <v>54</v>
      </c>
      <c r="C14" s="147"/>
      <c r="D14" s="51" t="s">
        <v>51</v>
      </c>
      <c r="E14" s="55">
        <v>26.63</v>
      </c>
      <c r="F14" s="51"/>
      <c r="G14" s="149"/>
      <c r="H14" s="146">
        <v>234324.59074000001</v>
      </c>
      <c r="I14" s="120">
        <v>1312156</v>
      </c>
      <c r="J14" s="387">
        <v>26.63</v>
      </c>
      <c r="K14" s="7"/>
      <c r="L14" s="32" t="e">
        <f>#REF!+#REF!+#REF!+#REF!</f>
        <v>#REF!</v>
      </c>
      <c r="M14" s="91">
        <f>M15+M16</f>
        <v>339917.6</v>
      </c>
      <c r="N14" s="84">
        <f t="shared" ref="N14:T14" si="11">N15+N16</f>
        <v>300500</v>
      </c>
      <c r="O14" s="48">
        <f t="shared" si="11"/>
        <v>0</v>
      </c>
      <c r="P14" s="91">
        <f t="shared" si="11"/>
        <v>300500</v>
      </c>
      <c r="Q14" s="84">
        <f t="shared" si="11"/>
        <v>437413.8</v>
      </c>
      <c r="R14" s="48">
        <f t="shared" si="11"/>
        <v>0</v>
      </c>
      <c r="S14" s="91">
        <f t="shared" si="11"/>
        <v>437413.8</v>
      </c>
      <c r="T14" s="84">
        <f t="shared" si="11"/>
        <v>0</v>
      </c>
      <c r="U14" s="48"/>
      <c r="V14" s="91">
        <f>T14+U14</f>
        <v>0</v>
      </c>
      <c r="W14" s="197"/>
      <c r="X14" s="111"/>
      <c r="Y14" s="215"/>
      <c r="Z14" s="178"/>
      <c r="AA14" s="112"/>
      <c r="AB14" s="184"/>
      <c r="AC14" s="178"/>
      <c r="AD14" s="112"/>
      <c r="AE14" s="184"/>
      <c r="AF14" s="197"/>
      <c r="AG14" s="76"/>
      <c r="AH14" s="233"/>
      <c r="AI14" s="38"/>
    </row>
    <row r="15" spans="1:36" s="58" customFormat="1" ht="30.75" customHeight="1" x14ac:dyDescent="0.3">
      <c r="A15" s="54" t="s">
        <v>26</v>
      </c>
      <c r="B15" s="26" t="s">
        <v>72</v>
      </c>
      <c r="C15" s="56"/>
      <c r="D15" s="26"/>
      <c r="E15" s="20"/>
      <c r="F15" s="26"/>
      <c r="G15" s="28"/>
      <c r="H15" s="138"/>
      <c r="I15" s="102"/>
      <c r="J15" s="388"/>
      <c r="K15" s="14"/>
      <c r="L15" s="14"/>
      <c r="M15" s="92">
        <v>0</v>
      </c>
      <c r="N15" s="175">
        <v>100000</v>
      </c>
      <c r="O15" s="36"/>
      <c r="P15" s="181">
        <f>N15+O15</f>
        <v>100000</v>
      </c>
      <c r="Q15" s="175">
        <v>421358.4</v>
      </c>
      <c r="R15" s="36"/>
      <c r="S15" s="181">
        <f>Q15+R15</f>
        <v>421358.4</v>
      </c>
      <c r="T15" s="175"/>
      <c r="U15" s="36"/>
      <c r="V15" s="181"/>
      <c r="W15" s="198"/>
      <c r="X15" s="113"/>
      <c r="Y15" s="216"/>
      <c r="Z15" s="198"/>
      <c r="AA15" s="113"/>
      <c r="AB15" s="216"/>
      <c r="AC15" s="198"/>
      <c r="AD15" s="113"/>
      <c r="AE15" s="216"/>
      <c r="AF15" s="198"/>
      <c r="AG15" s="232"/>
      <c r="AH15" s="235"/>
    </row>
    <row r="16" spans="1:36" ht="24" customHeight="1" x14ac:dyDescent="0.3">
      <c r="A16" s="16" t="s">
        <v>27</v>
      </c>
      <c r="B16" s="6" t="s">
        <v>23</v>
      </c>
      <c r="C16" s="52"/>
      <c r="D16" s="53"/>
      <c r="E16" s="10"/>
      <c r="F16" s="53"/>
      <c r="G16" s="7"/>
      <c r="H16" s="137"/>
      <c r="I16" s="103"/>
      <c r="J16" s="389"/>
      <c r="K16" s="7"/>
      <c r="L16" s="7"/>
      <c r="M16" s="93">
        <f>M17+M18</f>
        <v>339917.6</v>
      </c>
      <c r="N16" s="174">
        <v>200500</v>
      </c>
      <c r="O16" s="71">
        <f t="shared" ref="O16" si="12">O17+O18</f>
        <v>0</v>
      </c>
      <c r="P16" s="179">
        <v>200500</v>
      </c>
      <c r="Q16" s="174">
        <f>Q17+Q18</f>
        <v>16055.399999999965</v>
      </c>
      <c r="R16" s="71">
        <f t="shared" ref="R16:S16" si="13">R17+R18</f>
        <v>0</v>
      </c>
      <c r="S16" s="206">
        <f t="shared" si="13"/>
        <v>16055.399999999965</v>
      </c>
      <c r="T16" s="174"/>
      <c r="U16" s="71"/>
      <c r="V16" s="179"/>
      <c r="W16" s="178"/>
      <c r="X16" s="112"/>
      <c r="Y16" s="184"/>
      <c r="Z16" s="178"/>
      <c r="AA16" s="112"/>
      <c r="AB16" s="184"/>
      <c r="AC16" s="178"/>
      <c r="AD16" s="112"/>
      <c r="AE16" s="184"/>
      <c r="AF16" s="178"/>
      <c r="AG16" s="2"/>
      <c r="AH16" s="96"/>
    </row>
    <row r="17" spans="1:37" ht="21" customHeight="1" x14ac:dyDescent="0.3">
      <c r="A17" s="16"/>
      <c r="B17" s="6" t="s">
        <v>35</v>
      </c>
      <c r="C17" s="148"/>
      <c r="D17" s="150"/>
      <c r="E17" s="152"/>
      <c r="F17" s="150"/>
      <c r="G17" s="150"/>
      <c r="H17" s="139"/>
      <c r="I17" s="104"/>
      <c r="J17" s="340"/>
      <c r="K17" s="7"/>
      <c r="L17" s="7"/>
      <c r="M17" s="93">
        <v>167.6</v>
      </c>
      <c r="N17" s="174">
        <f>200+300</f>
        <v>500</v>
      </c>
      <c r="O17" s="71"/>
      <c r="P17" s="179">
        <f t="shared" ref="P17:P18" si="14">N17+O17</f>
        <v>500</v>
      </c>
      <c r="Q17" s="174">
        <v>100</v>
      </c>
      <c r="R17" s="71"/>
      <c r="S17" s="179">
        <f t="shared" ref="S17:S18" si="15">Q17+R17</f>
        <v>100</v>
      </c>
      <c r="T17" s="174"/>
      <c r="U17" s="71"/>
      <c r="V17" s="179"/>
      <c r="W17" s="178"/>
      <c r="X17" s="112"/>
      <c r="Y17" s="184"/>
      <c r="Z17" s="178"/>
      <c r="AA17" s="112"/>
      <c r="AB17" s="184"/>
      <c r="AC17" s="178"/>
      <c r="AD17" s="112"/>
      <c r="AE17" s="184"/>
      <c r="AF17" s="178"/>
      <c r="AG17" s="2"/>
      <c r="AH17" s="96"/>
    </row>
    <row r="18" spans="1:37" ht="21" customHeight="1" x14ac:dyDescent="0.3">
      <c r="A18" s="16"/>
      <c r="B18" s="6" t="s">
        <v>36</v>
      </c>
      <c r="C18" s="148"/>
      <c r="D18" s="150"/>
      <c r="E18" s="152"/>
      <c r="F18" s="150"/>
      <c r="G18" s="150"/>
      <c r="H18" s="139"/>
      <c r="I18" s="104"/>
      <c r="J18" s="340"/>
      <c r="K18" s="7"/>
      <c r="L18" s="7"/>
      <c r="M18" s="93">
        <v>339750</v>
      </c>
      <c r="N18" s="174">
        <v>300000</v>
      </c>
      <c r="O18" s="71"/>
      <c r="P18" s="179">
        <f t="shared" si="14"/>
        <v>300000</v>
      </c>
      <c r="Q18" s="174">
        <f>455875.3-18061.5-300-421558.4</f>
        <v>15955.399999999965</v>
      </c>
      <c r="R18" s="71"/>
      <c r="S18" s="179">
        <f t="shared" si="15"/>
        <v>15955.399999999965</v>
      </c>
      <c r="T18" s="174"/>
      <c r="U18" s="71"/>
      <c r="V18" s="179"/>
      <c r="W18" s="178"/>
      <c r="X18" s="112"/>
      <c r="Y18" s="184"/>
      <c r="Z18" s="178"/>
      <c r="AA18" s="112"/>
      <c r="AB18" s="184"/>
      <c r="AC18" s="178"/>
      <c r="AD18" s="112"/>
      <c r="AE18" s="184"/>
      <c r="AF18" s="178"/>
      <c r="AG18" s="2"/>
      <c r="AH18" s="96"/>
    </row>
    <row r="19" spans="1:37" ht="95.25" customHeight="1" x14ac:dyDescent="0.3">
      <c r="A19" s="339">
        <v>4</v>
      </c>
      <c r="B19" s="43" t="s">
        <v>78</v>
      </c>
      <c r="C19" s="239" t="s">
        <v>15</v>
      </c>
      <c r="D19" s="240" t="s">
        <v>66</v>
      </c>
      <c r="E19" s="240">
        <v>14.1</v>
      </c>
      <c r="F19" s="240"/>
      <c r="G19" s="239"/>
      <c r="H19" s="241"/>
      <c r="I19" s="251">
        <f>869198.1+13580</f>
        <v>882778.1</v>
      </c>
      <c r="J19" s="166">
        <v>13.83</v>
      </c>
      <c r="K19" s="14"/>
      <c r="L19" s="167" t="e">
        <f>#REF!+#REF!+#REF!</f>
        <v>#REF!</v>
      </c>
      <c r="M19" s="91">
        <f t="shared" ref="M19" si="16">M20+M21</f>
        <v>0</v>
      </c>
      <c r="N19" s="84">
        <f>N20+N21</f>
        <v>0</v>
      </c>
      <c r="O19" s="48">
        <f>O20+O21</f>
        <v>0</v>
      </c>
      <c r="P19" s="91">
        <f t="shared" ref="P19:AH19" si="17">P20+P21</f>
        <v>0</v>
      </c>
      <c r="Q19" s="84">
        <f t="shared" si="17"/>
        <v>0</v>
      </c>
      <c r="R19" s="48">
        <f t="shared" si="17"/>
        <v>0</v>
      </c>
      <c r="S19" s="91">
        <f t="shared" si="17"/>
        <v>0</v>
      </c>
      <c r="T19" s="84">
        <f t="shared" si="17"/>
        <v>0</v>
      </c>
      <c r="U19" s="48"/>
      <c r="V19" s="91"/>
      <c r="W19" s="84">
        <f t="shared" si="17"/>
        <v>15000</v>
      </c>
      <c r="X19" s="84">
        <f t="shared" si="17"/>
        <v>-10069.5</v>
      </c>
      <c r="Y19" s="91">
        <f t="shared" si="17"/>
        <v>4930.5</v>
      </c>
      <c r="Z19" s="84">
        <f t="shared" si="17"/>
        <v>249636.5</v>
      </c>
      <c r="AA19" s="84">
        <f t="shared" si="17"/>
        <v>-237033.4</v>
      </c>
      <c r="AB19" s="91">
        <f t="shared" si="17"/>
        <v>12603.1</v>
      </c>
      <c r="AC19" s="84">
        <f t="shared" si="17"/>
        <v>300000</v>
      </c>
      <c r="AD19" s="84">
        <f t="shared" si="17"/>
        <v>130000</v>
      </c>
      <c r="AE19" s="91">
        <f t="shared" si="17"/>
        <v>430000</v>
      </c>
      <c r="AF19" s="84">
        <f t="shared" si="17"/>
        <v>318141.59999999998</v>
      </c>
      <c r="AG19" s="84">
        <f t="shared" si="17"/>
        <v>117102.9</v>
      </c>
      <c r="AH19" s="91">
        <f t="shared" si="17"/>
        <v>435244.5</v>
      </c>
      <c r="AI19" s="238">
        <f>I19-Y19-AB19-AE19-AH19</f>
        <v>0</v>
      </c>
    </row>
    <row r="20" spans="1:37" s="58" customFormat="1" ht="21.75" customHeight="1" x14ac:dyDescent="0.3">
      <c r="A20" s="54" t="s">
        <v>24</v>
      </c>
      <c r="B20" s="26" t="s">
        <v>22</v>
      </c>
      <c r="C20" s="56"/>
      <c r="D20" s="26"/>
      <c r="E20" s="26"/>
      <c r="F20" s="26"/>
      <c r="G20" s="28"/>
      <c r="H20" s="138"/>
      <c r="I20" s="106"/>
      <c r="J20" s="98"/>
      <c r="K20" s="28"/>
      <c r="L20" s="28"/>
      <c r="M20" s="92">
        <v>0</v>
      </c>
      <c r="N20" s="85"/>
      <c r="O20" s="35"/>
      <c r="P20" s="92">
        <f>N20+O20</f>
        <v>0</v>
      </c>
      <c r="Q20" s="85"/>
      <c r="R20" s="35"/>
      <c r="S20" s="92">
        <f>Q20+R20</f>
        <v>0</v>
      </c>
      <c r="T20" s="85"/>
      <c r="U20" s="35"/>
      <c r="V20" s="92"/>
      <c r="W20" s="199"/>
      <c r="X20" s="114"/>
      <c r="Y20" s="217"/>
      <c r="Z20" s="189">
        <f>Z23</f>
        <v>249636.5</v>
      </c>
      <c r="AA20" s="189">
        <f t="shared" ref="AA20:AB20" si="18">AA23</f>
        <v>-249636.5</v>
      </c>
      <c r="AB20" s="203">
        <f t="shared" si="18"/>
        <v>0</v>
      </c>
      <c r="AC20" s="189">
        <f>AC23</f>
        <v>300000</v>
      </c>
      <c r="AD20" s="189">
        <f t="shared" ref="AD20:AE20" si="19">AD23</f>
        <v>130000</v>
      </c>
      <c r="AE20" s="203">
        <f t="shared" si="19"/>
        <v>430000</v>
      </c>
      <c r="AF20" s="189">
        <f>AF23</f>
        <v>318141.59999999998</v>
      </c>
      <c r="AG20" s="189">
        <f t="shared" ref="AG20:AH20" si="20">AG23</f>
        <v>117102.9</v>
      </c>
      <c r="AH20" s="203">
        <f t="shared" si="20"/>
        <v>435244.5</v>
      </c>
    </row>
    <row r="21" spans="1:37" ht="22.5" customHeight="1" x14ac:dyDescent="0.3">
      <c r="A21" s="16" t="s">
        <v>25</v>
      </c>
      <c r="B21" s="6" t="s">
        <v>23</v>
      </c>
      <c r="C21" s="52"/>
      <c r="D21" s="53"/>
      <c r="E21" s="53"/>
      <c r="F21" s="53"/>
      <c r="G21" s="7"/>
      <c r="H21" s="137"/>
      <c r="I21" s="107"/>
      <c r="J21" s="99"/>
      <c r="K21" s="7"/>
      <c r="L21" s="7"/>
      <c r="M21" s="93">
        <v>0</v>
      </c>
      <c r="N21" s="174">
        <f>N22+N23</f>
        <v>0</v>
      </c>
      <c r="O21" s="71">
        <f>O22+O23</f>
        <v>0</v>
      </c>
      <c r="P21" s="179">
        <f>N21+O21</f>
        <v>0</v>
      </c>
      <c r="Q21" s="174"/>
      <c r="R21" s="71"/>
      <c r="S21" s="179">
        <f>Q21+R21</f>
        <v>0</v>
      </c>
      <c r="T21" s="174"/>
      <c r="U21" s="71"/>
      <c r="V21" s="179"/>
      <c r="W21" s="178">
        <f>W22</f>
        <v>15000</v>
      </c>
      <c r="X21" s="178">
        <f t="shared" ref="X21:Y21" si="21">X22</f>
        <v>-10069.5</v>
      </c>
      <c r="Y21" s="184">
        <f t="shared" si="21"/>
        <v>4930.5</v>
      </c>
      <c r="Z21" s="178">
        <f>Z22</f>
        <v>0</v>
      </c>
      <c r="AA21" s="178">
        <f t="shared" ref="AA21:AB21" si="22">AA22</f>
        <v>12603.1</v>
      </c>
      <c r="AB21" s="184">
        <f t="shared" si="22"/>
        <v>12603.1</v>
      </c>
      <c r="AC21" s="178"/>
      <c r="AD21" s="112"/>
      <c r="AE21" s="184"/>
      <c r="AF21" s="178"/>
      <c r="AG21" s="2"/>
      <c r="AH21" s="96"/>
    </row>
    <row r="22" spans="1:37" ht="17.25" customHeight="1" x14ac:dyDescent="0.3">
      <c r="A22" s="16"/>
      <c r="B22" s="6" t="s">
        <v>35</v>
      </c>
      <c r="C22" s="8"/>
      <c r="D22" s="7"/>
      <c r="E22" s="7"/>
      <c r="F22" s="7"/>
      <c r="G22" s="7"/>
      <c r="H22" s="137"/>
      <c r="I22" s="108"/>
      <c r="J22" s="12"/>
      <c r="K22" s="7"/>
      <c r="L22" s="7"/>
      <c r="M22" s="93">
        <v>0</v>
      </c>
      <c r="N22" s="174">
        <f>730-730</f>
        <v>0</v>
      </c>
      <c r="O22" s="71"/>
      <c r="P22" s="179">
        <f t="shared" ref="P22:P23" si="23">N22+O22</f>
        <v>0</v>
      </c>
      <c r="Q22" s="174"/>
      <c r="R22" s="71"/>
      <c r="S22" s="179">
        <f t="shared" ref="S22:S23" si="24">Q22+R22</f>
        <v>0</v>
      </c>
      <c r="T22" s="174"/>
      <c r="U22" s="71"/>
      <c r="V22" s="179"/>
      <c r="W22" s="178">
        <v>15000</v>
      </c>
      <c r="X22" s="112">
        <v>-10069.5</v>
      </c>
      <c r="Y22" s="184">
        <f>W22+X22</f>
        <v>4930.5</v>
      </c>
      <c r="Z22" s="178"/>
      <c r="AA22" s="112">
        <v>12603.1</v>
      </c>
      <c r="AB22" s="184">
        <f>Z22+AA22</f>
        <v>12603.1</v>
      </c>
      <c r="AC22" s="178"/>
      <c r="AD22" s="112"/>
      <c r="AE22" s="184"/>
      <c r="AF22" s="178"/>
      <c r="AG22" s="2"/>
      <c r="AH22" s="96"/>
    </row>
    <row r="23" spans="1:37" ht="17.25" customHeight="1" x14ac:dyDescent="0.3">
      <c r="A23" s="16"/>
      <c r="B23" s="6" t="s">
        <v>36</v>
      </c>
      <c r="C23" s="8"/>
      <c r="D23" s="7"/>
      <c r="E23" s="7"/>
      <c r="F23" s="7"/>
      <c r="G23" s="7"/>
      <c r="H23" s="137"/>
      <c r="I23" s="108"/>
      <c r="J23" s="12"/>
      <c r="K23" s="7"/>
      <c r="L23" s="7"/>
      <c r="M23" s="93">
        <v>0</v>
      </c>
      <c r="N23" s="95"/>
      <c r="O23" s="69"/>
      <c r="P23" s="179">
        <f t="shared" si="23"/>
        <v>0</v>
      </c>
      <c r="Q23" s="84"/>
      <c r="R23" s="48"/>
      <c r="S23" s="179">
        <f t="shared" si="24"/>
        <v>0</v>
      </c>
      <c r="T23" s="84"/>
      <c r="U23" s="48"/>
      <c r="V23" s="91"/>
      <c r="W23" s="200"/>
      <c r="X23" s="115"/>
      <c r="Y23" s="218"/>
      <c r="Z23" s="211">
        <f>71136.5+178500</f>
        <v>249636.5</v>
      </c>
      <c r="AA23" s="134">
        <v>-249636.5</v>
      </c>
      <c r="AB23" s="223">
        <f>Z23+AA23</f>
        <v>0</v>
      </c>
      <c r="AC23" s="178">
        <v>300000</v>
      </c>
      <c r="AD23" s="112">
        <v>130000</v>
      </c>
      <c r="AE23" s="184">
        <f>AC23+AD23</f>
        <v>430000</v>
      </c>
      <c r="AF23" s="178">
        <f>317411.6+730</f>
        <v>318141.59999999998</v>
      </c>
      <c r="AG23" s="2">
        <v>117102.9</v>
      </c>
      <c r="AH23" s="184">
        <f>AF23+AG23</f>
        <v>435244.5</v>
      </c>
    </row>
    <row r="24" spans="1:37" ht="80.25" customHeight="1" x14ac:dyDescent="0.3">
      <c r="A24" s="339">
        <v>6</v>
      </c>
      <c r="B24" s="43" t="s">
        <v>18</v>
      </c>
      <c r="C24" s="168" t="s">
        <v>16</v>
      </c>
      <c r="D24" s="14">
        <v>2023</v>
      </c>
      <c r="E24" s="14"/>
      <c r="F24" s="14">
        <v>43.15</v>
      </c>
      <c r="G24" s="14">
        <v>4.3150000000000001E-2</v>
      </c>
      <c r="H24" s="140">
        <v>1605.96549</v>
      </c>
      <c r="I24" s="91">
        <f>64167.266+55</f>
        <v>64222.266000000003</v>
      </c>
      <c r="J24" s="47"/>
      <c r="K24" s="14">
        <v>43.15</v>
      </c>
      <c r="L24" s="167" t="e">
        <f>#REF!+#REF!</f>
        <v>#REF!</v>
      </c>
      <c r="M24" s="91">
        <f t="shared" ref="M24:Y24" si="25">M27+M28</f>
        <v>0</v>
      </c>
      <c r="N24" s="84">
        <f>N25+N26</f>
        <v>0</v>
      </c>
      <c r="O24" s="84">
        <f t="shared" ref="O24:P24" si="26">O25+O26</f>
        <v>0</v>
      </c>
      <c r="P24" s="91">
        <f t="shared" si="26"/>
        <v>0</v>
      </c>
      <c r="Q24" s="84">
        <f>Q25+Q26</f>
        <v>20000</v>
      </c>
      <c r="R24" s="84">
        <f t="shared" ref="R24:S24" si="27">R25+R26</f>
        <v>-17000</v>
      </c>
      <c r="S24" s="91">
        <f t="shared" si="27"/>
        <v>3000</v>
      </c>
      <c r="T24" s="84">
        <f>T25+T26</f>
        <v>42616.3</v>
      </c>
      <c r="U24" s="84">
        <f t="shared" ref="U24:V24" si="28">U25+U26</f>
        <v>0</v>
      </c>
      <c r="V24" s="91">
        <f t="shared" si="28"/>
        <v>42616.3</v>
      </c>
      <c r="W24" s="84">
        <f t="shared" si="25"/>
        <v>0</v>
      </c>
      <c r="X24" s="84">
        <f t="shared" si="25"/>
        <v>17000</v>
      </c>
      <c r="Y24" s="311">
        <f t="shared" si="25"/>
        <v>17000</v>
      </c>
      <c r="Z24" s="212"/>
      <c r="AA24" s="169"/>
      <c r="AB24" s="224"/>
      <c r="AC24" s="212"/>
      <c r="AD24" s="169"/>
      <c r="AE24" s="224"/>
      <c r="AF24" s="190"/>
      <c r="AG24" s="76"/>
      <c r="AH24" s="96"/>
      <c r="AI24" s="40">
        <f>I24-S24-V24-Y24</f>
        <v>1605.9660000000003</v>
      </c>
      <c r="AJ24" s="300" t="s">
        <v>94</v>
      </c>
    </row>
    <row r="25" spans="1:37" ht="20.25" customHeight="1" x14ac:dyDescent="0.3">
      <c r="A25" s="339"/>
      <c r="B25" s="26" t="s">
        <v>22</v>
      </c>
      <c r="C25" s="27"/>
      <c r="D25" s="28"/>
      <c r="E25" s="28"/>
      <c r="F25" s="28"/>
      <c r="G25" s="28"/>
      <c r="H25" s="138"/>
      <c r="I25" s="92"/>
      <c r="J25" s="34"/>
      <c r="K25" s="28"/>
      <c r="L25" s="19"/>
      <c r="M25" s="92"/>
      <c r="N25" s="85"/>
      <c r="O25" s="35"/>
      <c r="P25" s="92"/>
      <c r="Q25" s="85"/>
      <c r="R25" s="35"/>
      <c r="S25" s="92"/>
      <c r="T25" s="85"/>
      <c r="U25" s="35"/>
      <c r="V25" s="92"/>
      <c r="W25" s="85"/>
      <c r="X25" s="35"/>
      <c r="Y25" s="92"/>
      <c r="Z25" s="198"/>
      <c r="AA25" s="113"/>
      <c r="AB25" s="216"/>
      <c r="AC25" s="198"/>
      <c r="AD25" s="113"/>
      <c r="AE25" s="216"/>
      <c r="AF25" s="189"/>
      <c r="AG25" s="246"/>
      <c r="AH25" s="235"/>
    </row>
    <row r="26" spans="1:37" ht="20.25" customHeight="1" x14ac:dyDescent="0.3">
      <c r="A26" s="339"/>
      <c r="B26" s="6" t="s">
        <v>23</v>
      </c>
      <c r="C26" s="168"/>
      <c r="D26" s="14"/>
      <c r="E26" s="14"/>
      <c r="F26" s="14"/>
      <c r="G26" s="14"/>
      <c r="H26" s="140"/>
      <c r="I26" s="91"/>
      <c r="J26" s="47"/>
      <c r="K26" s="14"/>
      <c r="L26" s="167"/>
      <c r="M26" s="91">
        <f>M27+M28</f>
        <v>0</v>
      </c>
      <c r="O26" s="48"/>
      <c r="P26" s="91">
        <f>N27+N28</f>
        <v>0</v>
      </c>
      <c r="Q26" s="84">
        <f>Q27+Q28</f>
        <v>20000</v>
      </c>
      <c r="R26" s="84">
        <f t="shared" ref="R26:S26" si="29">R27+R28</f>
        <v>-17000</v>
      </c>
      <c r="S26" s="91">
        <f t="shared" si="29"/>
        <v>3000</v>
      </c>
      <c r="T26" s="84">
        <f>T27+T28</f>
        <v>42616.3</v>
      </c>
      <c r="U26" s="84">
        <f t="shared" ref="U26:V26" si="30">U27+U28</f>
        <v>0</v>
      </c>
      <c r="V26" s="91">
        <f t="shared" si="30"/>
        <v>42616.3</v>
      </c>
      <c r="W26" s="84">
        <f>W28</f>
        <v>0</v>
      </c>
      <c r="X26" s="84">
        <f t="shared" ref="X26:Y26" si="31">X28</f>
        <v>17000</v>
      </c>
      <c r="Y26" s="311">
        <f t="shared" si="31"/>
        <v>17000</v>
      </c>
      <c r="Z26" s="212"/>
      <c r="AA26" s="169"/>
      <c r="AB26" s="224"/>
      <c r="AC26" s="212"/>
      <c r="AD26" s="169"/>
      <c r="AE26" s="224"/>
      <c r="AF26" s="190"/>
      <c r="AG26" s="76"/>
      <c r="AH26" s="96"/>
    </row>
    <row r="27" spans="1:37" ht="19.5" customHeight="1" x14ac:dyDescent="0.3">
      <c r="A27" s="339"/>
      <c r="B27" s="6" t="s">
        <v>35</v>
      </c>
      <c r="C27" s="8"/>
      <c r="D27" s="7"/>
      <c r="E27" s="7"/>
      <c r="F27" s="7"/>
      <c r="G27" s="7"/>
      <c r="H27" s="137"/>
      <c r="I27" s="105"/>
      <c r="J27" s="12"/>
      <c r="K27" s="7"/>
      <c r="L27" s="9"/>
      <c r="M27" s="93">
        <v>0</v>
      </c>
      <c r="N27" s="174"/>
      <c r="O27" s="71"/>
      <c r="P27" s="91">
        <f>N27+O27</f>
        <v>0</v>
      </c>
      <c r="Q27" s="174"/>
      <c r="R27" s="69">
        <v>3000</v>
      </c>
      <c r="S27" s="91">
        <f t="shared" ref="S27:S28" si="32">Q27+R27</f>
        <v>3000</v>
      </c>
      <c r="T27" s="174">
        <v>55</v>
      </c>
      <c r="U27" s="71"/>
      <c r="V27" s="179">
        <f>T27+U27</f>
        <v>55</v>
      </c>
      <c r="W27" s="178"/>
      <c r="X27" s="112"/>
      <c r="Y27" s="184"/>
      <c r="Z27" s="178"/>
      <c r="AA27" s="112"/>
      <c r="AB27" s="184"/>
      <c r="AC27" s="178"/>
      <c r="AD27" s="112"/>
      <c r="AE27" s="184"/>
      <c r="AF27" s="178"/>
      <c r="AG27" s="2"/>
      <c r="AH27" s="96"/>
    </row>
    <row r="28" spans="1:37" ht="19.5" customHeight="1" x14ac:dyDescent="0.3">
      <c r="A28" s="339"/>
      <c r="B28" s="6" t="s">
        <v>36</v>
      </c>
      <c r="C28" s="8"/>
      <c r="D28" s="7"/>
      <c r="E28" s="7"/>
      <c r="F28" s="7"/>
      <c r="G28" s="7"/>
      <c r="H28" s="137"/>
      <c r="I28" s="105"/>
      <c r="J28" s="12"/>
      <c r="K28" s="7"/>
      <c r="L28" s="9"/>
      <c r="M28" s="93">
        <v>0</v>
      </c>
      <c r="N28" s="174">
        <f>38500*1.044+2367.3-42561.3</f>
        <v>0</v>
      </c>
      <c r="O28" s="71"/>
      <c r="P28" s="91">
        <f>N28+O28</f>
        <v>0</v>
      </c>
      <c r="Q28" s="95">
        <v>20000</v>
      </c>
      <c r="R28" s="69">
        <v>-20000</v>
      </c>
      <c r="S28" s="91">
        <f t="shared" si="32"/>
        <v>0</v>
      </c>
      <c r="T28" s="174">
        <v>42561.3</v>
      </c>
      <c r="U28" s="71"/>
      <c r="V28" s="179">
        <f>T28+U28</f>
        <v>42561.3</v>
      </c>
      <c r="W28" s="178"/>
      <c r="X28" s="112">
        <v>17000</v>
      </c>
      <c r="Y28" s="184">
        <f>W28+X28</f>
        <v>17000</v>
      </c>
      <c r="Z28" s="178"/>
      <c r="AA28" s="112"/>
      <c r="AB28" s="184"/>
      <c r="AC28" s="178"/>
      <c r="AD28" s="112"/>
      <c r="AE28" s="184"/>
      <c r="AF28" s="178"/>
      <c r="AG28" s="2"/>
      <c r="AH28" s="96"/>
    </row>
    <row r="29" spans="1:37" ht="105" customHeight="1" x14ac:dyDescent="0.3">
      <c r="A29" s="346">
        <v>17</v>
      </c>
      <c r="B29" s="317" t="s">
        <v>102</v>
      </c>
      <c r="C29" s="318"/>
      <c r="D29" s="319" t="s">
        <v>52</v>
      </c>
      <c r="E29" s="319">
        <v>2.83</v>
      </c>
      <c r="F29" s="320">
        <v>318</v>
      </c>
      <c r="G29" s="319"/>
      <c r="H29" s="321"/>
      <c r="I29" s="322">
        <v>2860323.6</v>
      </c>
      <c r="J29" s="187"/>
      <c r="K29" s="320"/>
      <c r="L29" s="49"/>
      <c r="M29" s="206">
        <f t="shared" ref="M29:AC29" si="33">M30+M31</f>
        <v>5687.2</v>
      </c>
      <c r="N29" s="187">
        <f t="shared" si="33"/>
        <v>5885.5999999999995</v>
      </c>
      <c r="O29" s="49">
        <f t="shared" si="33"/>
        <v>21801.5</v>
      </c>
      <c r="P29" s="206">
        <f t="shared" si="33"/>
        <v>27687.1</v>
      </c>
      <c r="Q29" s="187">
        <f t="shared" si="33"/>
        <v>20000</v>
      </c>
      <c r="R29" s="49">
        <f t="shared" si="33"/>
        <v>480000</v>
      </c>
      <c r="S29" s="206">
        <f t="shared" si="33"/>
        <v>500000</v>
      </c>
      <c r="T29" s="187">
        <f t="shared" si="33"/>
        <v>350000</v>
      </c>
      <c r="U29" s="49">
        <f t="shared" si="33"/>
        <v>1238540</v>
      </c>
      <c r="V29" s="206">
        <f t="shared" si="33"/>
        <v>1588540</v>
      </c>
      <c r="W29" s="187">
        <f t="shared" si="33"/>
        <v>430919.9</v>
      </c>
      <c r="X29" s="187">
        <f t="shared" si="33"/>
        <v>312033.7</v>
      </c>
      <c r="Y29" s="334">
        <f t="shared" si="33"/>
        <v>742953.6</v>
      </c>
      <c r="Z29" s="187">
        <f t="shared" si="33"/>
        <v>493811.3</v>
      </c>
      <c r="AA29" s="187">
        <f t="shared" si="33"/>
        <v>-493811.3</v>
      </c>
      <c r="AB29" s="334">
        <f t="shared" si="33"/>
        <v>0</v>
      </c>
      <c r="AC29" s="187">
        <f t="shared" si="33"/>
        <v>0</v>
      </c>
      <c r="AD29" s="49"/>
      <c r="AE29" s="206"/>
      <c r="AF29" s="327"/>
      <c r="AG29" s="335"/>
      <c r="AH29" s="336"/>
      <c r="AI29" s="40">
        <f>I29-P29-S29-V29-Y29-AB29</f>
        <v>1142.9000000000233</v>
      </c>
      <c r="AJ29" s="300">
        <v>1142.88967</v>
      </c>
      <c r="AK29" s="300" t="s">
        <v>103</v>
      </c>
    </row>
    <row r="30" spans="1:37" s="58" customFormat="1" ht="21.75" customHeight="1" x14ac:dyDescent="0.3">
      <c r="A30" s="60"/>
      <c r="B30" s="57" t="s">
        <v>20</v>
      </c>
      <c r="C30" s="33"/>
      <c r="D30" s="28"/>
      <c r="E30" s="28"/>
      <c r="F30" s="34"/>
      <c r="G30" s="28"/>
      <c r="H30" s="138"/>
      <c r="I30" s="92"/>
      <c r="J30" s="85"/>
      <c r="K30" s="34"/>
      <c r="L30" s="35"/>
      <c r="M30" s="92">
        <v>0</v>
      </c>
      <c r="N30" s="85"/>
      <c r="O30" s="35">
        <f>O33</f>
        <v>21801.5</v>
      </c>
      <c r="P30" s="92">
        <f>N30+O30</f>
        <v>21801.5</v>
      </c>
      <c r="Q30" s="85"/>
      <c r="R30" s="35">
        <v>450000</v>
      </c>
      <c r="S30" s="92">
        <f>Q30+R30</f>
        <v>450000</v>
      </c>
      <c r="T30" s="189">
        <v>318200</v>
      </c>
      <c r="U30" s="37">
        <v>1111486</v>
      </c>
      <c r="V30" s="203">
        <f>T30+U30</f>
        <v>1429686</v>
      </c>
      <c r="W30" s="189">
        <v>391811.9</v>
      </c>
      <c r="X30" s="37">
        <v>276846.3</v>
      </c>
      <c r="Y30" s="203">
        <f>W30+X30</f>
        <v>668658.19999999995</v>
      </c>
      <c r="Z30" s="189">
        <f>514080.1-46600</f>
        <v>467480.1</v>
      </c>
      <c r="AA30" s="37">
        <v>-467480.1</v>
      </c>
      <c r="AB30" s="203">
        <f>Z30+AA30</f>
        <v>0</v>
      </c>
      <c r="AC30" s="198"/>
      <c r="AD30" s="113"/>
      <c r="AE30" s="216"/>
      <c r="AF30" s="198"/>
      <c r="AG30" s="198"/>
      <c r="AH30" s="216"/>
    </row>
    <row r="31" spans="1:37" ht="22.5" customHeight="1" x14ac:dyDescent="0.3">
      <c r="A31" s="59"/>
      <c r="B31" s="3" t="s">
        <v>21</v>
      </c>
      <c r="C31" s="46"/>
      <c r="D31" s="14"/>
      <c r="E31" s="14"/>
      <c r="F31" s="47"/>
      <c r="G31" s="14"/>
      <c r="H31" s="140"/>
      <c r="I31" s="91"/>
      <c r="J31" s="84"/>
      <c r="K31" s="47"/>
      <c r="L31" s="48"/>
      <c r="M31" s="91">
        <f t="shared" ref="M31" si="34">M32</f>
        <v>5687.2</v>
      </c>
      <c r="N31" s="84">
        <f>N32</f>
        <v>5885.5999999999995</v>
      </c>
      <c r="O31" s="48">
        <f>O32</f>
        <v>0</v>
      </c>
      <c r="P31" s="91">
        <f>N31+O31</f>
        <v>5885.5999999999995</v>
      </c>
      <c r="Q31" s="84">
        <f>Q32</f>
        <v>20000</v>
      </c>
      <c r="R31" s="48">
        <f>R32+27300</f>
        <v>30000</v>
      </c>
      <c r="S31" s="91">
        <f>Q31+R31</f>
        <v>50000</v>
      </c>
      <c r="T31" s="190">
        <v>31800</v>
      </c>
      <c r="U31" s="50">
        <v>127054</v>
      </c>
      <c r="V31" s="204">
        <f>T31+U31</f>
        <v>158854</v>
      </c>
      <c r="W31" s="197">
        <v>39108</v>
      </c>
      <c r="X31" s="111">
        <v>35187.4</v>
      </c>
      <c r="Y31" s="215">
        <f>W31+X31</f>
        <v>74295.399999999994</v>
      </c>
      <c r="Z31" s="197">
        <f>46600-70.4-20198.4</f>
        <v>26331.199999999997</v>
      </c>
      <c r="AA31" s="111">
        <v>-26331.200000000001</v>
      </c>
      <c r="AB31" s="215">
        <f>Z31+AA31</f>
        <v>0</v>
      </c>
      <c r="AC31" s="178"/>
      <c r="AD31" s="112"/>
      <c r="AE31" s="184"/>
      <c r="AF31" s="178"/>
      <c r="AG31" s="2"/>
      <c r="AH31" s="96"/>
    </row>
    <row r="32" spans="1:37" ht="21.75" customHeight="1" x14ac:dyDescent="0.3">
      <c r="A32" s="59"/>
      <c r="B32" s="6" t="s">
        <v>35</v>
      </c>
      <c r="C32" s="46"/>
      <c r="D32" s="14"/>
      <c r="E32" s="14"/>
      <c r="F32" s="47"/>
      <c r="G32" s="14"/>
      <c r="H32" s="140"/>
      <c r="I32" s="91"/>
      <c r="J32" s="84"/>
      <c r="K32" s="47"/>
      <c r="L32" s="48"/>
      <c r="M32" s="91">
        <v>5687.2</v>
      </c>
      <c r="N32" s="84">
        <f>198.4+5687.2</f>
        <v>5885.5999999999995</v>
      </c>
      <c r="O32" s="48"/>
      <c r="P32" s="91">
        <f t="shared" ref="P32:P33" si="35">N32+O32</f>
        <v>5885.5999999999995</v>
      </c>
      <c r="Q32" s="84">
        <v>20000</v>
      </c>
      <c r="R32" s="48">
        <f>2700</f>
        <v>2700</v>
      </c>
      <c r="S32" s="91">
        <f t="shared" ref="S32:S33" si="36">Q32+R32</f>
        <v>22700</v>
      </c>
      <c r="T32" s="190"/>
      <c r="U32" s="50"/>
      <c r="V32" s="204"/>
      <c r="W32" s="178"/>
      <c r="X32" s="112"/>
      <c r="Y32" s="184"/>
      <c r="Z32" s="178"/>
      <c r="AA32" s="112"/>
      <c r="AB32" s="184"/>
      <c r="AC32" s="178"/>
      <c r="AD32" s="112"/>
      <c r="AE32" s="184"/>
      <c r="AF32" s="178"/>
      <c r="AG32" s="2"/>
      <c r="AH32" s="96"/>
    </row>
    <row r="33" spans="1:35" ht="46.5" customHeight="1" x14ac:dyDescent="0.3">
      <c r="A33" s="59"/>
      <c r="B33" s="6" t="s">
        <v>104</v>
      </c>
      <c r="C33" s="46"/>
      <c r="D33" s="14"/>
      <c r="E33" s="14"/>
      <c r="F33" s="47"/>
      <c r="G33" s="14"/>
      <c r="H33" s="140"/>
      <c r="I33" s="91"/>
      <c r="J33" s="84"/>
      <c r="K33" s="47"/>
      <c r="L33" s="48"/>
      <c r="M33" s="91">
        <v>0</v>
      </c>
      <c r="N33" s="84"/>
      <c r="O33" s="48">
        <f>22000-198.5</f>
        <v>21801.5</v>
      </c>
      <c r="P33" s="91">
        <f t="shared" si="35"/>
        <v>21801.5</v>
      </c>
      <c r="Q33" s="84"/>
      <c r="R33" s="48">
        <v>477300</v>
      </c>
      <c r="S33" s="91">
        <f t="shared" si="36"/>
        <v>477300</v>
      </c>
      <c r="T33" s="84">
        <v>350000</v>
      </c>
      <c r="U33" s="48">
        <v>1238540</v>
      </c>
      <c r="V33" s="91">
        <f>T33+U33</f>
        <v>1588540</v>
      </c>
      <c r="W33" s="197">
        <v>430919.9</v>
      </c>
      <c r="X33" s="111">
        <v>312033.7</v>
      </c>
      <c r="Y33" s="215">
        <f>W33+X33</f>
        <v>742953.60000000009</v>
      </c>
      <c r="Z33" s="197">
        <v>493811.3</v>
      </c>
      <c r="AA33" s="111">
        <v>-493811.3</v>
      </c>
      <c r="AB33" s="215">
        <f>Z33+AA33</f>
        <v>0</v>
      </c>
      <c r="AC33" s="178"/>
      <c r="AD33" s="112"/>
      <c r="AE33" s="184"/>
      <c r="AF33" s="178"/>
      <c r="AG33" s="2"/>
      <c r="AH33" s="96"/>
    </row>
    <row r="34" spans="1:35" s="58" customFormat="1" ht="90.75" customHeight="1" x14ac:dyDescent="0.3">
      <c r="A34" s="236"/>
      <c r="B34" s="317" t="s">
        <v>59</v>
      </c>
      <c r="C34" s="318"/>
      <c r="D34" s="319" t="s">
        <v>48</v>
      </c>
      <c r="E34" s="319">
        <v>2.5</v>
      </c>
      <c r="F34" s="320"/>
      <c r="G34" s="319"/>
      <c r="H34" s="321"/>
      <c r="I34" s="322">
        <v>1768282</v>
      </c>
      <c r="J34" s="187"/>
      <c r="K34" s="320"/>
      <c r="L34" s="49"/>
      <c r="M34" s="206"/>
      <c r="N34" s="187">
        <f t="shared" ref="N34:Y34" si="37">N35+N36</f>
        <v>16252</v>
      </c>
      <c r="O34" s="49">
        <f t="shared" si="37"/>
        <v>0</v>
      </c>
      <c r="P34" s="206">
        <f t="shared" si="37"/>
        <v>16252</v>
      </c>
      <c r="Q34" s="323">
        <f t="shared" si="37"/>
        <v>489194</v>
      </c>
      <c r="R34" s="324">
        <f t="shared" si="37"/>
        <v>-450000</v>
      </c>
      <c r="S34" s="325">
        <f t="shared" si="37"/>
        <v>39194</v>
      </c>
      <c r="T34" s="323">
        <f t="shared" si="37"/>
        <v>700000</v>
      </c>
      <c r="U34" s="324">
        <f t="shared" si="37"/>
        <v>-700000</v>
      </c>
      <c r="V34" s="325">
        <f t="shared" si="37"/>
        <v>0</v>
      </c>
      <c r="W34" s="323">
        <f t="shared" si="37"/>
        <v>274236</v>
      </c>
      <c r="X34" s="323">
        <f t="shared" si="37"/>
        <v>300000</v>
      </c>
      <c r="Y34" s="326">
        <f t="shared" si="37"/>
        <v>574236</v>
      </c>
      <c r="Z34" s="327">
        <f>Z35+Z36</f>
        <v>0</v>
      </c>
      <c r="AA34" s="327">
        <f t="shared" ref="AA34:AB34" si="38">AA35+AA36</f>
        <v>850000</v>
      </c>
      <c r="AB34" s="328">
        <f t="shared" si="38"/>
        <v>850000</v>
      </c>
      <c r="AC34" s="329"/>
      <c r="AD34" s="330"/>
      <c r="AE34" s="331"/>
      <c r="AF34" s="329"/>
      <c r="AG34" s="332"/>
      <c r="AH34" s="333"/>
      <c r="AI34" s="301">
        <f>I34-P34-S34-V34-Y34-AB34</f>
        <v>288600</v>
      </c>
    </row>
    <row r="35" spans="1:35" s="133" customFormat="1" ht="21" customHeight="1" x14ac:dyDescent="0.3">
      <c r="A35" s="60"/>
      <c r="B35" s="57" t="s">
        <v>20</v>
      </c>
      <c r="C35" s="33"/>
      <c r="D35" s="28"/>
      <c r="E35" s="28"/>
      <c r="F35" s="34"/>
      <c r="G35" s="28"/>
      <c r="H35" s="138"/>
      <c r="I35" s="92"/>
      <c r="J35" s="85"/>
      <c r="K35" s="34"/>
      <c r="L35" s="35"/>
      <c r="M35" s="92"/>
      <c r="N35" s="35">
        <f>N38</f>
        <v>0</v>
      </c>
      <c r="O35" s="35">
        <f>O38</f>
        <v>0</v>
      </c>
      <c r="P35" s="35">
        <f>P38</f>
        <v>0</v>
      </c>
      <c r="Q35" s="186">
        <f>Q38</f>
        <v>450000</v>
      </c>
      <c r="R35" s="186">
        <f t="shared" ref="R35:S35" si="39">R38</f>
        <v>-450000</v>
      </c>
      <c r="S35" s="296">
        <f t="shared" si="39"/>
        <v>0</v>
      </c>
      <c r="T35" s="189">
        <v>700000</v>
      </c>
      <c r="U35" s="37">
        <v>-700000</v>
      </c>
      <c r="V35" s="203">
        <f>T35+U35</f>
        <v>0</v>
      </c>
      <c r="W35" s="189">
        <v>274236</v>
      </c>
      <c r="X35" s="37">
        <v>300000</v>
      </c>
      <c r="Y35" s="203">
        <f>W35+X35</f>
        <v>574236</v>
      </c>
      <c r="Z35" s="189"/>
      <c r="AA35" s="37">
        <v>850000</v>
      </c>
      <c r="AB35" s="203">
        <f>Z35+AA35</f>
        <v>850000</v>
      </c>
      <c r="AC35" s="198"/>
      <c r="AD35" s="113"/>
      <c r="AE35" s="216"/>
      <c r="AF35" s="198"/>
      <c r="AG35" s="232"/>
      <c r="AH35" s="235"/>
    </row>
    <row r="36" spans="1:35" ht="21" customHeight="1" x14ac:dyDescent="0.3">
      <c r="A36" s="59"/>
      <c r="B36" s="3" t="s">
        <v>21</v>
      </c>
      <c r="C36" s="46"/>
      <c r="D36" s="14"/>
      <c r="E36" s="14"/>
      <c r="F36" s="47"/>
      <c r="G36" s="14"/>
      <c r="H36" s="140"/>
      <c r="I36" s="91"/>
      <c r="J36" s="84"/>
      <c r="K36" s="47"/>
      <c r="L36" s="48"/>
      <c r="M36" s="91"/>
      <c r="N36" s="84">
        <f t="shared" ref="N36:S36" si="40">N37</f>
        <v>16252</v>
      </c>
      <c r="O36" s="48">
        <f t="shared" si="40"/>
        <v>0</v>
      </c>
      <c r="P36" s="91">
        <f t="shared" si="40"/>
        <v>16252</v>
      </c>
      <c r="Q36" s="185">
        <f t="shared" si="40"/>
        <v>39194</v>
      </c>
      <c r="R36" s="121">
        <f t="shared" si="40"/>
        <v>0</v>
      </c>
      <c r="S36" s="196">
        <f t="shared" si="40"/>
        <v>39194</v>
      </c>
      <c r="T36" s="190"/>
      <c r="U36" s="50"/>
      <c r="V36" s="204"/>
      <c r="W36" s="197"/>
      <c r="X36" s="111"/>
      <c r="Y36" s="215"/>
      <c r="Z36" s="197"/>
      <c r="AA36" s="111"/>
      <c r="AB36" s="215"/>
      <c r="AC36" s="178"/>
      <c r="AD36" s="112"/>
      <c r="AE36" s="184"/>
      <c r="AF36" s="178"/>
      <c r="AG36" s="2"/>
      <c r="AH36" s="96"/>
    </row>
    <row r="37" spans="1:35" ht="21" customHeight="1" x14ac:dyDescent="0.3">
      <c r="A37" s="59"/>
      <c r="B37" s="6" t="s">
        <v>35</v>
      </c>
      <c r="C37" s="46"/>
      <c r="D37" s="14"/>
      <c r="E37" s="14"/>
      <c r="F37" s="47"/>
      <c r="G37" s="14"/>
      <c r="H37" s="140"/>
      <c r="I37" s="91"/>
      <c r="J37" s="84"/>
      <c r="K37" s="47"/>
      <c r="L37" s="48"/>
      <c r="M37" s="91"/>
      <c r="N37" s="84">
        <f>25682-9430</f>
        <v>16252</v>
      </c>
      <c r="O37" s="48"/>
      <c r="P37" s="91">
        <f>N37+O37</f>
        <v>16252</v>
      </c>
      <c r="Q37" s="185">
        <f>29764+9430</f>
        <v>39194</v>
      </c>
      <c r="R37" s="121"/>
      <c r="S37" s="91">
        <f>Q37+R37</f>
        <v>39194</v>
      </c>
      <c r="T37" s="190"/>
      <c r="U37" s="50"/>
      <c r="V37" s="204"/>
      <c r="W37" s="197"/>
      <c r="X37" s="111"/>
      <c r="Y37" s="215"/>
      <c r="Z37" s="197"/>
      <c r="AA37" s="111"/>
      <c r="AB37" s="215"/>
      <c r="AC37" s="178"/>
      <c r="AD37" s="112"/>
      <c r="AE37" s="184"/>
      <c r="AF37" s="178"/>
      <c r="AG37" s="2"/>
      <c r="AH37" s="96"/>
    </row>
    <row r="38" spans="1:35" ht="34.5" customHeight="1" x14ac:dyDescent="0.3">
      <c r="A38" s="59"/>
      <c r="B38" s="6" t="s">
        <v>101</v>
      </c>
      <c r="C38" s="46"/>
      <c r="D38" s="14"/>
      <c r="E38" s="14"/>
      <c r="F38" s="47"/>
      <c r="G38" s="14"/>
      <c r="H38" s="140"/>
      <c r="I38" s="91"/>
      <c r="J38" s="84"/>
      <c r="K38" s="47"/>
      <c r="L38" s="48"/>
      <c r="M38" s="91"/>
      <c r="N38" s="84"/>
      <c r="O38" s="48"/>
      <c r="P38" s="91">
        <f>O38+N38</f>
        <v>0</v>
      </c>
      <c r="Q38" s="185">
        <v>450000</v>
      </c>
      <c r="R38" s="121">
        <v>-450000</v>
      </c>
      <c r="S38" s="91">
        <f>Q38+R38</f>
        <v>0</v>
      </c>
      <c r="T38" s="190"/>
      <c r="U38" s="50"/>
      <c r="V38" s="204"/>
      <c r="W38" s="197">
        <v>274236</v>
      </c>
      <c r="X38" s="111">
        <v>300000</v>
      </c>
      <c r="Y38" s="215">
        <f>W38+X38</f>
        <v>574236</v>
      </c>
      <c r="Z38" s="197"/>
      <c r="AA38" s="111">
        <v>850000</v>
      </c>
      <c r="AB38" s="215">
        <f>Z38+AA38</f>
        <v>850000</v>
      </c>
      <c r="AC38" s="178"/>
      <c r="AD38" s="112"/>
      <c r="AE38" s="184"/>
      <c r="AF38" s="178"/>
      <c r="AG38" s="2"/>
      <c r="AH38" s="96"/>
    </row>
    <row r="39" spans="1:35" ht="119.25" customHeight="1" x14ac:dyDescent="0.3">
      <c r="A39" s="59">
        <v>19</v>
      </c>
      <c r="B39" s="43" t="s">
        <v>55</v>
      </c>
      <c r="C39" s="46"/>
      <c r="D39" s="14" t="s">
        <v>49</v>
      </c>
      <c r="E39" s="14">
        <v>19.8</v>
      </c>
      <c r="F39" s="47"/>
      <c r="G39" s="14"/>
      <c r="H39" s="140"/>
      <c r="I39" s="170">
        <v>1572854.8</v>
      </c>
      <c r="J39" s="84"/>
      <c r="K39" s="47"/>
      <c r="L39" s="48"/>
      <c r="M39" s="91">
        <f t="shared" ref="M39:AB39" si="41">M40+M41</f>
        <v>0</v>
      </c>
      <c r="N39" s="84">
        <f t="shared" si="41"/>
        <v>0</v>
      </c>
      <c r="O39" s="48">
        <f t="shared" si="41"/>
        <v>0</v>
      </c>
      <c r="P39" s="91">
        <f t="shared" si="41"/>
        <v>0</v>
      </c>
      <c r="Q39" s="84">
        <f t="shared" si="41"/>
        <v>17017.599999999999</v>
      </c>
      <c r="R39" s="48">
        <f t="shared" si="41"/>
        <v>0</v>
      </c>
      <c r="S39" s="91">
        <f t="shared" ref="S39" si="42">Q39+R39</f>
        <v>17017.599999999999</v>
      </c>
      <c r="T39" s="84">
        <f t="shared" si="41"/>
        <v>400000</v>
      </c>
      <c r="U39" s="48">
        <f t="shared" si="41"/>
        <v>-400000</v>
      </c>
      <c r="V39" s="91">
        <f t="shared" si="41"/>
        <v>0</v>
      </c>
      <c r="W39" s="84">
        <f t="shared" si="41"/>
        <v>502767.6</v>
      </c>
      <c r="X39" s="84">
        <f t="shared" si="41"/>
        <v>0</v>
      </c>
      <c r="Y39" s="311">
        <f t="shared" si="41"/>
        <v>502767.6</v>
      </c>
      <c r="Z39" s="84">
        <f t="shared" si="41"/>
        <v>371232.4</v>
      </c>
      <c r="AA39" s="84">
        <f t="shared" si="41"/>
        <v>0</v>
      </c>
      <c r="AB39" s="311">
        <f t="shared" si="41"/>
        <v>371232.4</v>
      </c>
      <c r="AC39" s="190">
        <f>AC40+AC41</f>
        <v>0</v>
      </c>
      <c r="AD39" s="190">
        <f t="shared" ref="AD39:AE39" si="43">AD40+AD41</f>
        <v>401815.7</v>
      </c>
      <c r="AE39" s="312">
        <f t="shared" si="43"/>
        <v>401815.7</v>
      </c>
      <c r="AF39" s="190"/>
      <c r="AG39" s="76"/>
      <c r="AH39" s="96"/>
      <c r="AI39" s="40">
        <f>I39-S39-V39-Y39-AB39-AE39</f>
        <v>280021.50000000006</v>
      </c>
    </row>
    <row r="40" spans="1:35" s="58" customFormat="1" ht="30.75" customHeight="1" x14ac:dyDescent="0.3">
      <c r="A40" s="60"/>
      <c r="B40" s="57" t="s">
        <v>20</v>
      </c>
      <c r="C40" s="33"/>
      <c r="D40" s="28"/>
      <c r="E40" s="28"/>
      <c r="F40" s="34"/>
      <c r="G40" s="28"/>
      <c r="H40" s="138"/>
      <c r="I40" s="92"/>
      <c r="J40" s="85"/>
      <c r="K40" s="34"/>
      <c r="L40" s="35"/>
      <c r="M40" s="92">
        <v>0</v>
      </c>
      <c r="N40" s="85"/>
      <c r="O40" s="35"/>
      <c r="P40" s="92">
        <f>N40+O40</f>
        <v>0</v>
      </c>
      <c r="Q40" s="85"/>
      <c r="R40" s="35"/>
      <c r="S40" s="92">
        <f>Q40+R40</f>
        <v>0</v>
      </c>
      <c r="T40" s="189">
        <v>400000</v>
      </c>
      <c r="U40" s="37">
        <v>-400000</v>
      </c>
      <c r="V40" s="203">
        <f>T40+U40</f>
        <v>0</v>
      </c>
      <c r="W40" s="189">
        <v>502767.6</v>
      </c>
      <c r="X40" s="37"/>
      <c r="Y40" s="203">
        <f>W40+X40</f>
        <v>502767.6</v>
      </c>
      <c r="Z40" s="189">
        <f>371882.4-650</f>
        <v>371232.4</v>
      </c>
      <c r="AA40" s="37"/>
      <c r="AB40" s="203">
        <f>Z40+AA40</f>
        <v>371232.4</v>
      </c>
      <c r="AC40" s="198"/>
      <c r="AD40" s="37">
        <v>401815.7</v>
      </c>
      <c r="AE40" s="203">
        <f>AC40+AD40</f>
        <v>401815.7</v>
      </c>
      <c r="AF40" s="198"/>
      <c r="AG40" s="198"/>
      <c r="AH40" s="216"/>
    </row>
    <row r="41" spans="1:35" ht="21" customHeight="1" x14ac:dyDescent="0.3">
      <c r="A41" s="59"/>
      <c r="B41" s="3" t="s">
        <v>21</v>
      </c>
      <c r="C41" s="46"/>
      <c r="D41" s="14"/>
      <c r="E41" s="14"/>
      <c r="F41" s="47"/>
      <c r="G41" s="14"/>
      <c r="H41" s="140"/>
      <c r="I41" s="91"/>
      <c r="J41" s="84"/>
      <c r="K41" s="47"/>
      <c r="L41" s="48"/>
      <c r="M41" s="91">
        <f t="shared" ref="M41" si="44">M42</f>
        <v>0</v>
      </c>
      <c r="N41" s="84">
        <f>N42+N43</f>
        <v>0</v>
      </c>
      <c r="O41" s="48">
        <f t="shared" ref="O41:P41" si="45">O42+O43</f>
        <v>0</v>
      </c>
      <c r="P41" s="91">
        <f t="shared" si="45"/>
        <v>0</v>
      </c>
      <c r="Q41" s="84">
        <v>17017.599999999999</v>
      </c>
      <c r="R41" s="48"/>
      <c r="S41" s="91">
        <f>Q41+R41</f>
        <v>17017.599999999999</v>
      </c>
      <c r="T41" s="190"/>
      <c r="U41" s="50"/>
      <c r="V41" s="204"/>
      <c r="W41" s="178"/>
      <c r="X41" s="112"/>
      <c r="Y41" s="184"/>
      <c r="Z41" s="178"/>
      <c r="AA41" s="112"/>
      <c r="AB41" s="184"/>
      <c r="AC41" s="178"/>
      <c r="AD41" s="112"/>
      <c r="AE41" s="184"/>
      <c r="AF41" s="178"/>
      <c r="AG41" s="2"/>
      <c r="AH41" s="96"/>
    </row>
    <row r="42" spans="1:35" ht="21" customHeight="1" x14ac:dyDescent="0.3">
      <c r="A42" s="59"/>
      <c r="B42" s="6" t="s">
        <v>35</v>
      </c>
      <c r="C42" s="46"/>
      <c r="D42" s="14"/>
      <c r="E42" s="14"/>
      <c r="F42" s="47"/>
      <c r="G42" s="14"/>
      <c r="H42" s="140"/>
      <c r="I42" s="91"/>
      <c r="J42" s="84"/>
      <c r="K42" s="47"/>
      <c r="L42" s="48"/>
      <c r="M42" s="91">
        <v>0</v>
      </c>
      <c r="N42" s="84">
        <f>650-650</f>
        <v>0</v>
      </c>
      <c r="O42" s="48"/>
      <c r="P42" s="91">
        <f>N42+O42</f>
        <v>0</v>
      </c>
      <c r="Q42" s="84">
        <v>17017.599999999999</v>
      </c>
      <c r="R42" s="48"/>
      <c r="S42" s="91">
        <f t="shared" ref="S42:S44" si="46">Q42+R42</f>
        <v>17017.599999999999</v>
      </c>
      <c r="T42" s="190"/>
      <c r="U42" s="50"/>
      <c r="V42" s="204"/>
      <c r="W42" s="178"/>
      <c r="X42" s="112"/>
      <c r="Y42" s="184"/>
      <c r="Z42" s="178"/>
      <c r="AA42" s="112"/>
      <c r="AB42" s="184"/>
      <c r="AC42" s="178"/>
      <c r="AD42" s="112"/>
      <c r="AE42" s="184"/>
      <c r="AF42" s="178"/>
      <c r="AG42" s="2"/>
      <c r="AH42" s="96"/>
    </row>
    <row r="43" spans="1:35" ht="21" customHeight="1" x14ac:dyDescent="0.3">
      <c r="A43" s="59"/>
      <c r="B43" s="6" t="s">
        <v>36</v>
      </c>
      <c r="C43" s="46"/>
      <c r="D43" s="14"/>
      <c r="E43" s="14"/>
      <c r="F43" s="47"/>
      <c r="G43" s="14"/>
      <c r="H43" s="140"/>
      <c r="I43" s="91"/>
      <c r="J43" s="84"/>
      <c r="K43" s="47"/>
      <c r="L43" s="48"/>
      <c r="M43" s="91">
        <v>0</v>
      </c>
      <c r="N43" s="84"/>
      <c r="O43" s="48"/>
      <c r="P43" s="91"/>
      <c r="Q43" s="84"/>
      <c r="R43" s="48"/>
      <c r="S43" s="91">
        <f t="shared" si="46"/>
        <v>0</v>
      </c>
      <c r="T43" s="190">
        <v>400000</v>
      </c>
      <c r="U43" s="50">
        <v>-400000</v>
      </c>
      <c r="V43" s="204">
        <f>T43+U43</f>
        <v>0</v>
      </c>
      <c r="W43" s="197">
        <v>502767.6</v>
      </c>
      <c r="X43" s="111"/>
      <c r="Y43" s="215">
        <f>W43+X43</f>
        <v>502767.6</v>
      </c>
      <c r="Z43" s="197">
        <f>371882.4-650</f>
        <v>371232.4</v>
      </c>
      <c r="AA43" s="111"/>
      <c r="AB43" s="215">
        <f>Z43+AA43</f>
        <v>371232.4</v>
      </c>
      <c r="AC43" s="178"/>
      <c r="AD43" s="112">
        <v>401815.7</v>
      </c>
      <c r="AE43" s="184">
        <f>AC43+AD43</f>
        <v>401815.7</v>
      </c>
      <c r="AF43" s="178"/>
      <c r="AG43" s="2"/>
      <c r="AH43" s="96"/>
    </row>
    <row r="44" spans="1:35" ht="111.6" customHeight="1" x14ac:dyDescent="0.3">
      <c r="A44" s="59">
        <v>20</v>
      </c>
      <c r="B44" s="6" t="s">
        <v>38</v>
      </c>
      <c r="C44" s="46"/>
      <c r="D44" s="14" t="s">
        <v>50</v>
      </c>
      <c r="E44" s="14">
        <v>8.5</v>
      </c>
      <c r="F44" s="47"/>
      <c r="G44" s="14"/>
      <c r="H44" s="140"/>
      <c r="I44" s="91">
        <f>403800+1568.3+5075.1</f>
        <v>410443.39999999997</v>
      </c>
      <c r="J44" s="84"/>
      <c r="K44" s="47"/>
      <c r="L44" s="48"/>
      <c r="M44" s="91"/>
      <c r="N44" s="84"/>
      <c r="O44" s="48"/>
      <c r="P44" s="91"/>
      <c r="Q44" s="84">
        <f>Q45+Q46</f>
        <v>0</v>
      </c>
      <c r="R44" s="48"/>
      <c r="S44" s="91">
        <f t="shared" si="46"/>
        <v>0</v>
      </c>
      <c r="T44" s="84">
        <f>T45+T46</f>
        <v>0</v>
      </c>
      <c r="U44" s="48"/>
      <c r="V44" s="91"/>
      <c r="W44" s="84">
        <f t="shared" ref="W44:AH44" si="47">W45+W46</f>
        <v>1568.3</v>
      </c>
      <c r="X44" s="84">
        <f t="shared" si="47"/>
        <v>0</v>
      </c>
      <c r="Y44" s="91">
        <f t="shared" si="47"/>
        <v>1568.3</v>
      </c>
      <c r="Z44" s="84">
        <f t="shared" si="47"/>
        <v>5075.1000000000004</v>
      </c>
      <c r="AA44" s="84">
        <f t="shared" si="47"/>
        <v>0</v>
      </c>
      <c r="AB44" s="91">
        <f t="shared" si="47"/>
        <v>5075.1000000000004</v>
      </c>
      <c r="AC44" s="84">
        <f t="shared" si="47"/>
        <v>200000</v>
      </c>
      <c r="AD44" s="84">
        <f t="shared" si="47"/>
        <v>0</v>
      </c>
      <c r="AE44" s="91">
        <f t="shared" si="47"/>
        <v>200000</v>
      </c>
      <c r="AF44" s="84">
        <f t="shared" si="47"/>
        <v>203800</v>
      </c>
      <c r="AG44" s="84">
        <f t="shared" si="47"/>
        <v>0</v>
      </c>
      <c r="AH44" s="91">
        <f t="shared" si="47"/>
        <v>203800</v>
      </c>
      <c r="AI44" s="40">
        <f>I44-M44-P44-S44-V44-Y44-AB44-AE44-AH44</f>
        <v>0</v>
      </c>
    </row>
    <row r="45" spans="1:35" s="58" customFormat="1" ht="24" customHeight="1" x14ac:dyDescent="0.3">
      <c r="A45" s="60"/>
      <c r="B45" s="57" t="s">
        <v>20</v>
      </c>
      <c r="C45" s="33"/>
      <c r="D45" s="28"/>
      <c r="E45" s="28"/>
      <c r="F45" s="34"/>
      <c r="G45" s="28"/>
      <c r="H45" s="138"/>
      <c r="I45" s="92"/>
      <c r="J45" s="85"/>
      <c r="K45" s="34"/>
      <c r="L45" s="35"/>
      <c r="M45" s="92"/>
      <c r="N45" s="85"/>
      <c r="O45" s="35"/>
      <c r="P45" s="92"/>
      <c r="Q45" s="85"/>
      <c r="R45" s="35"/>
      <c r="S45" s="92">
        <f>Q45+R45</f>
        <v>0</v>
      </c>
      <c r="T45" s="189"/>
      <c r="U45" s="37"/>
      <c r="V45" s="203"/>
      <c r="W45" s="189"/>
      <c r="X45" s="37"/>
      <c r="Y45" s="203"/>
      <c r="Z45" s="189"/>
      <c r="AA45" s="37"/>
      <c r="AB45" s="203"/>
      <c r="AC45" s="189">
        <f>AC48</f>
        <v>200000</v>
      </c>
      <c r="AD45" s="189">
        <f t="shared" ref="AD45:AE45" si="48">AD48</f>
        <v>0</v>
      </c>
      <c r="AE45" s="203">
        <f t="shared" si="48"/>
        <v>200000</v>
      </c>
      <c r="AF45" s="189">
        <f>AF48</f>
        <v>203800</v>
      </c>
      <c r="AG45" s="189">
        <f t="shared" ref="AG45:AH45" si="49">AG48</f>
        <v>0</v>
      </c>
      <c r="AH45" s="203">
        <f t="shared" si="49"/>
        <v>203800</v>
      </c>
    </row>
    <row r="46" spans="1:35" ht="20.25" customHeight="1" x14ac:dyDescent="0.3">
      <c r="A46" s="59"/>
      <c r="B46" s="3" t="s">
        <v>21</v>
      </c>
      <c r="C46" s="46"/>
      <c r="D46" s="14"/>
      <c r="E46" s="14"/>
      <c r="F46" s="47"/>
      <c r="G46" s="14"/>
      <c r="H46" s="140"/>
      <c r="I46" s="91"/>
      <c r="J46" s="84"/>
      <c r="K46" s="47"/>
      <c r="L46" s="48"/>
      <c r="M46" s="91"/>
      <c r="N46" s="84"/>
      <c r="O46" s="48"/>
      <c r="P46" s="91"/>
      <c r="Q46" s="84"/>
      <c r="R46" s="48"/>
      <c r="S46" s="91">
        <f>Q46+R46</f>
        <v>0</v>
      </c>
      <c r="T46" s="84"/>
      <c r="U46" s="48"/>
      <c r="V46" s="91"/>
      <c r="W46" s="84">
        <f>W47</f>
        <v>1568.3</v>
      </c>
      <c r="X46" s="84">
        <f t="shared" ref="X46:Y46" si="50">X47</f>
        <v>0</v>
      </c>
      <c r="Y46" s="91">
        <f t="shared" si="50"/>
        <v>1568.3</v>
      </c>
      <c r="Z46" s="190">
        <f>Z47</f>
        <v>5075.1000000000004</v>
      </c>
      <c r="AA46" s="190">
        <f t="shared" ref="AA46:AB46" si="51">AA47</f>
        <v>0</v>
      </c>
      <c r="AB46" s="204">
        <f t="shared" si="51"/>
        <v>5075.1000000000004</v>
      </c>
      <c r="AC46" s="190"/>
      <c r="AD46" s="50"/>
      <c r="AE46" s="204"/>
      <c r="AF46" s="178"/>
      <c r="AG46" s="2"/>
      <c r="AH46" s="96"/>
    </row>
    <row r="47" spans="1:35" ht="21" customHeight="1" x14ac:dyDescent="0.3">
      <c r="A47" s="59"/>
      <c r="B47" s="6" t="s">
        <v>35</v>
      </c>
      <c r="C47" s="46"/>
      <c r="D47" s="14"/>
      <c r="E47" s="14"/>
      <c r="F47" s="47"/>
      <c r="G47" s="14"/>
      <c r="H47" s="140"/>
      <c r="I47" s="91"/>
      <c r="J47" s="84"/>
      <c r="K47" s="47"/>
      <c r="L47" s="48"/>
      <c r="M47" s="91"/>
      <c r="N47" s="84"/>
      <c r="O47" s="48"/>
      <c r="P47" s="91"/>
      <c r="Q47" s="84"/>
      <c r="R47" s="48"/>
      <c r="S47" s="91">
        <f t="shared" ref="S47:S48" si="52">Q47+R47</f>
        <v>0</v>
      </c>
      <c r="T47" s="84"/>
      <c r="U47" s="48"/>
      <c r="V47" s="91"/>
      <c r="W47" s="84">
        <v>1568.3</v>
      </c>
      <c r="X47" s="48"/>
      <c r="Y47" s="91">
        <f>W47+X47</f>
        <v>1568.3</v>
      </c>
      <c r="Z47" s="190">
        <v>5075.1000000000004</v>
      </c>
      <c r="AA47" s="50"/>
      <c r="AB47" s="204">
        <f>Z47+AA47</f>
        <v>5075.1000000000004</v>
      </c>
      <c r="AC47" s="190"/>
      <c r="AD47" s="50"/>
      <c r="AE47" s="204"/>
      <c r="AF47" s="178"/>
      <c r="AG47" s="2"/>
      <c r="AH47" s="96"/>
    </row>
    <row r="48" spans="1:35" ht="21" customHeight="1" x14ac:dyDescent="0.3">
      <c r="A48" s="59"/>
      <c r="B48" s="6" t="s">
        <v>36</v>
      </c>
      <c r="C48" s="46"/>
      <c r="D48" s="14"/>
      <c r="E48" s="14"/>
      <c r="F48" s="47"/>
      <c r="G48" s="14"/>
      <c r="H48" s="140"/>
      <c r="I48" s="91"/>
      <c r="J48" s="84"/>
      <c r="K48" s="47"/>
      <c r="L48" s="48"/>
      <c r="M48" s="91"/>
      <c r="N48" s="84"/>
      <c r="O48" s="48"/>
      <c r="P48" s="91"/>
      <c r="Q48" s="84"/>
      <c r="R48" s="48"/>
      <c r="S48" s="91">
        <f t="shared" si="52"/>
        <v>0</v>
      </c>
      <c r="T48" s="190"/>
      <c r="U48" s="50"/>
      <c r="V48" s="204"/>
      <c r="W48" s="178"/>
      <c r="X48" s="112"/>
      <c r="Y48" s="184"/>
      <c r="Z48" s="178"/>
      <c r="AA48" s="112"/>
      <c r="AB48" s="184"/>
      <c r="AC48" s="178">
        <v>200000</v>
      </c>
      <c r="AD48" s="112"/>
      <c r="AE48" s="184">
        <f>AC48+AD48</f>
        <v>200000</v>
      </c>
      <c r="AF48" s="178">
        <v>203800</v>
      </c>
      <c r="AG48" s="2"/>
      <c r="AH48" s="184">
        <f>AF48+AG48</f>
        <v>203800</v>
      </c>
    </row>
    <row r="49" spans="1:35" ht="77.25" customHeight="1" x14ac:dyDescent="0.3">
      <c r="A49" s="59"/>
      <c r="B49" s="6" t="s">
        <v>84</v>
      </c>
      <c r="C49" s="46" t="s">
        <v>16</v>
      </c>
      <c r="D49" s="14">
        <v>2024</v>
      </c>
      <c r="E49" s="14">
        <v>9.8190000000000008</v>
      </c>
      <c r="F49" s="47"/>
      <c r="G49" s="14"/>
      <c r="H49" s="140"/>
      <c r="I49" s="91">
        <v>763243</v>
      </c>
      <c r="J49" s="84"/>
      <c r="K49" s="47"/>
      <c r="L49" s="48"/>
      <c r="M49" s="91"/>
      <c r="N49" s="84"/>
      <c r="O49" s="48"/>
      <c r="P49" s="91"/>
      <c r="Q49" s="84"/>
      <c r="R49" s="48"/>
      <c r="S49" s="91"/>
      <c r="T49" s="190">
        <f>T50+T51</f>
        <v>9570</v>
      </c>
      <c r="U49" s="190">
        <f>U50+U51</f>
        <v>-9570</v>
      </c>
      <c r="V49" s="204">
        <f>V50+V51</f>
        <v>0</v>
      </c>
      <c r="W49" s="290">
        <f>W50+W51</f>
        <v>446909</v>
      </c>
      <c r="X49" s="290">
        <f t="shared" ref="X49:Y49" si="53">X50+X51</f>
        <v>-446909</v>
      </c>
      <c r="Y49" s="291">
        <f t="shared" si="53"/>
        <v>0</v>
      </c>
      <c r="Z49" s="290">
        <f>Z50+Z51</f>
        <v>306664</v>
      </c>
      <c r="AA49" s="290">
        <f t="shared" ref="AA49:AB49" si="54">AA50+AA51</f>
        <v>-306664</v>
      </c>
      <c r="AB49" s="291">
        <f t="shared" si="54"/>
        <v>0</v>
      </c>
      <c r="AC49" s="178"/>
      <c r="AD49" s="112"/>
      <c r="AE49" s="184"/>
      <c r="AF49" s="178"/>
      <c r="AG49" s="2"/>
      <c r="AH49" s="184"/>
    </row>
    <row r="50" spans="1:35" ht="21" customHeight="1" x14ac:dyDescent="0.3">
      <c r="A50" s="59"/>
      <c r="B50" s="26" t="s">
        <v>22</v>
      </c>
      <c r="C50" s="33"/>
      <c r="D50" s="28"/>
      <c r="E50" s="28"/>
      <c r="F50" s="34"/>
      <c r="G50" s="28"/>
      <c r="H50" s="138"/>
      <c r="I50" s="92"/>
      <c r="J50" s="85"/>
      <c r="K50" s="34"/>
      <c r="L50" s="35"/>
      <c r="M50" s="92"/>
      <c r="N50" s="85"/>
      <c r="O50" s="35"/>
      <c r="P50" s="92"/>
      <c r="Q50" s="85"/>
      <c r="R50" s="35"/>
      <c r="S50" s="92"/>
      <c r="T50" s="189"/>
      <c r="U50" s="37"/>
      <c r="V50" s="203"/>
      <c r="W50" s="198"/>
      <c r="X50" s="198"/>
      <c r="Y50" s="216"/>
      <c r="Z50" s="198"/>
      <c r="AA50" s="198"/>
      <c r="AB50" s="216"/>
      <c r="AC50" s="198"/>
      <c r="AD50" s="113"/>
      <c r="AE50" s="216"/>
      <c r="AF50" s="198"/>
      <c r="AG50" s="232"/>
      <c r="AH50" s="216"/>
    </row>
    <row r="51" spans="1:35" ht="21" customHeight="1" x14ac:dyDescent="0.3">
      <c r="A51" s="59"/>
      <c r="B51" s="6" t="s">
        <v>23</v>
      </c>
      <c r="C51" s="46"/>
      <c r="D51" s="14"/>
      <c r="E51" s="14"/>
      <c r="F51" s="47"/>
      <c r="G51" s="14"/>
      <c r="H51" s="140"/>
      <c r="I51" s="91"/>
      <c r="J51" s="84"/>
      <c r="K51" s="47"/>
      <c r="L51" s="48"/>
      <c r="M51" s="91"/>
      <c r="N51" s="84"/>
      <c r="O51" s="48"/>
      <c r="P51" s="91"/>
      <c r="Q51" s="84"/>
      <c r="R51" s="48"/>
      <c r="S51" s="91"/>
      <c r="T51" s="190">
        <f>T52+T53</f>
        <v>9570</v>
      </c>
      <c r="U51" s="190">
        <f t="shared" ref="U51:V51" si="55">U52+U53</f>
        <v>-9570</v>
      </c>
      <c r="V51" s="204">
        <f t="shared" si="55"/>
        <v>0</v>
      </c>
      <c r="W51" s="178">
        <f>W52+W53</f>
        <v>446909</v>
      </c>
      <c r="X51" s="178">
        <f t="shared" ref="X51:Y51" si="56">X52+X53</f>
        <v>-446909</v>
      </c>
      <c r="Y51" s="184">
        <f t="shared" si="56"/>
        <v>0</v>
      </c>
      <c r="Z51" s="178">
        <f>Z52+Z53</f>
        <v>306664</v>
      </c>
      <c r="AA51" s="178">
        <f t="shared" ref="AA51:AB51" si="57">AA52+AA53</f>
        <v>-306664</v>
      </c>
      <c r="AB51" s="184">
        <f t="shared" si="57"/>
        <v>0</v>
      </c>
      <c r="AC51" s="178"/>
      <c r="AD51" s="112"/>
      <c r="AE51" s="184"/>
      <c r="AF51" s="178"/>
      <c r="AG51" s="2"/>
      <c r="AH51" s="184"/>
    </row>
    <row r="52" spans="1:35" ht="21" customHeight="1" x14ac:dyDescent="0.3">
      <c r="A52" s="59"/>
      <c r="B52" s="6" t="s">
        <v>35</v>
      </c>
      <c r="C52" s="46"/>
      <c r="D52" s="14"/>
      <c r="E52" s="14"/>
      <c r="F52" s="47"/>
      <c r="G52" s="14"/>
      <c r="H52" s="140"/>
      <c r="I52" s="91"/>
      <c r="J52" s="84"/>
      <c r="K52" s="47"/>
      <c r="L52" s="48"/>
      <c r="M52" s="91"/>
      <c r="N52" s="84"/>
      <c r="O52" s="48"/>
      <c r="P52" s="91"/>
      <c r="Q52" s="84"/>
      <c r="R52" s="48"/>
      <c r="S52" s="91"/>
      <c r="T52" s="190">
        <v>9570</v>
      </c>
      <c r="U52" s="50">
        <v>-9570</v>
      </c>
      <c r="V52" s="204">
        <f>T52+U52</f>
        <v>0</v>
      </c>
      <c r="W52" s="178"/>
      <c r="X52" s="178"/>
      <c r="Y52" s="184"/>
      <c r="Z52" s="178"/>
      <c r="AA52" s="178"/>
      <c r="AB52" s="184"/>
      <c r="AC52" s="178"/>
      <c r="AD52" s="112"/>
      <c r="AE52" s="184"/>
      <c r="AF52" s="178"/>
      <c r="AG52" s="2"/>
      <c r="AH52" s="184"/>
    </row>
    <row r="53" spans="1:35" ht="21" customHeight="1" x14ac:dyDescent="0.3">
      <c r="A53" s="59"/>
      <c r="B53" s="6" t="s">
        <v>36</v>
      </c>
      <c r="C53" s="46"/>
      <c r="D53" s="14"/>
      <c r="E53" s="14"/>
      <c r="F53" s="47"/>
      <c r="G53" s="14"/>
      <c r="H53" s="140"/>
      <c r="I53" s="91"/>
      <c r="J53" s="84"/>
      <c r="K53" s="47"/>
      <c r="L53" s="48"/>
      <c r="M53" s="91"/>
      <c r="N53" s="84"/>
      <c r="O53" s="48"/>
      <c r="P53" s="91"/>
      <c r="Q53" s="84"/>
      <c r="R53" s="48"/>
      <c r="S53" s="91"/>
      <c r="T53" s="190"/>
      <c r="U53" s="50"/>
      <c r="V53" s="204"/>
      <c r="W53" s="178">
        <v>446909</v>
      </c>
      <c r="X53" s="178">
        <v>-446909</v>
      </c>
      <c r="Y53" s="184">
        <f>W53+X53</f>
        <v>0</v>
      </c>
      <c r="Z53" s="178">
        <v>306664</v>
      </c>
      <c r="AA53" s="178">
        <v>-306664</v>
      </c>
      <c r="AB53" s="184">
        <f>Z53+AA53</f>
        <v>0</v>
      </c>
      <c r="AC53" s="178"/>
      <c r="AD53" s="112"/>
      <c r="AE53" s="184"/>
      <c r="AF53" s="178"/>
      <c r="AG53" s="2"/>
      <c r="AH53" s="184"/>
    </row>
    <row r="54" spans="1:35" ht="77.25" customHeight="1" x14ac:dyDescent="0.3">
      <c r="A54" s="59">
        <v>23</v>
      </c>
      <c r="B54" s="43" t="s">
        <v>32</v>
      </c>
      <c r="C54" s="8" t="s">
        <v>17</v>
      </c>
      <c r="D54" s="17" t="s">
        <v>67</v>
      </c>
      <c r="E54" s="18">
        <v>11.63</v>
      </c>
      <c r="F54" s="18">
        <v>77.25</v>
      </c>
      <c r="G54" s="18">
        <v>7.7249999999999999E-2</v>
      </c>
      <c r="H54" s="141"/>
      <c r="I54" s="109">
        <f>763342.6+12000</f>
        <v>775342.6</v>
      </c>
      <c r="J54" s="44">
        <v>11.63</v>
      </c>
      <c r="K54" s="18">
        <v>77.25</v>
      </c>
      <c r="L54" s="31">
        <f>Q54+T54</f>
        <v>12000</v>
      </c>
      <c r="M54" s="179"/>
      <c r="N54" s="174"/>
      <c r="O54" s="71"/>
      <c r="P54" s="179"/>
      <c r="Q54" s="95">
        <f>Q55+Q56</f>
        <v>0</v>
      </c>
      <c r="R54" s="69"/>
      <c r="S54" s="93">
        <f t="shared" ref="S54" si="58">Q54+R54</f>
        <v>0</v>
      </c>
      <c r="T54" s="95">
        <f>T55+T56</f>
        <v>12000</v>
      </c>
      <c r="U54" s="69">
        <f t="shared" ref="U54:V54" si="59">U55+U56</f>
        <v>0</v>
      </c>
      <c r="V54" s="93">
        <f t="shared" si="59"/>
        <v>12000</v>
      </c>
      <c r="W54" s="95">
        <f>W55+W56</f>
        <v>116790.8</v>
      </c>
      <c r="X54" s="95">
        <f t="shared" ref="X54:Y54" si="60">X55+X56</f>
        <v>0</v>
      </c>
      <c r="Y54" s="93">
        <f t="shared" si="60"/>
        <v>116790.8</v>
      </c>
      <c r="Z54" s="95">
        <f>Z55+Z56</f>
        <v>646551.80000000005</v>
      </c>
      <c r="AA54" s="95">
        <f t="shared" ref="AA54:AB54" si="61">AA55+AA56</f>
        <v>0</v>
      </c>
      <c r="AB54" s="93">
        <f t="shared" si="61"/>
        <v>646551.80000000005</v>
      </c>
      <c r="AC54" s="178"/>
      <c r="AD54" s="112"/>
      <c r="AE54" s="184"/>
      <c r="AF54" s="197"/>
      <c r="AG54" s="231"/>
      <c r="AH54" s="96"/>
      <c r="AI54" s="40">
        <f>I54-M54-P54-S54-V54-Y54-AB54-AE54-AH54</f>
        <v>-1.1641532182693481E-10</v>
      </c>
    </row>
    <row r="55" spans="1:35" ht="21" customHeight="1" x14ac:dyDescent="0.3">
      <c r="A55" s="61"/>
      <c r="B55" s="26" t="s">
        <v>22</v>
      </c>
      <c r="C55" s="27"/>
      <c r="D55" s="29"/>
      <c r="E55" s="30"/>
      <c r="F55" s="30"/>
      <c r="G55" s="30"/>
      <c r="H55" s="142"/>
      <c r="I55" s="110"/>
      <c r="J55" s="62"/>
      <c r="K55" s="30"/>
      <c r="L55" s="30"/>
      <c r="M55" s="181"/>
      <c r="N55" s="175"/>
      <c r="O55" s="36"/>
      <c r="P55" s="181"/>
      <c r="Q55" s="175"/>
      <c r="R55" s="36"/>
      <c r="S55" s="181">
        <f>Q55+R55</f>
        <v>0</v>
      </c>
      <c r="T55" s="189"/>
      <c r="U55" s="37"/>
      <c r="V55" s="203"/>
      <c r="W55" s="189">
        <f>W58</f>
        <v>116790.8</v>
      </c>
      <c r="X55" s="189">
        <f t="shared" ref="X55:Y55" si="62">X58</f>
        <v>0</v>
      </c>
      <c r="Y55" s="203">
        <f t="shared" si="62"/>
        <v>116790.8</v>
      </c>
      <c r="Z55" s="189">
        <f>Z58</f>
        <v>646451.80000000005</v>
      </c>
      <c r="AA55" s="189">
        <f t="shared" ref="AA55:AB55" si="63">AA58</f>
        <v>0</v>
      </c>
      <c r="AB55" s="203">
        <f t="shared" si="63"/>
        <v>646451.80000000005</v>
      </c>
      <c r="AC55" s="198"/>
      <c r="AD55" s="113"/>
      <c r="AE55" s="216"/>
      <c r="AF55" s="198"/>
      <c r="AG55" s="232"/>
      <c r="AH55" s="235"/>
    </row>
    <row r="56" spans="1:35" ht="19.5" customHeight="1" x14ac:dyDescent="0.3">
      <c r="A56" s="61"/>
      <c r="B56" s="6" t="s">
        <v>23</v>
      </c>
      <c r="C56" s="8"/>
      <c r="D56" s="17"/>
      <c r="E56" s="18"/>
      <c r="F56" s="18"/>
      <c r="G56" s="18"/>
      <c r="H56" s="141"/>
      <c r="I56" s="109"/>
      <c r="J56" s="44"/>
      <c r="K56" s="18"/>
      <c r="L56" s="18"/>
      <c r="M56" s="179"/>
      <c r="N56" s="174"/>
      <c r="O56" s="71"/>
      <c r="P56" s="179"/>
      <c r="Q56" s="95">
        <f>Q62+Q63</f>
        <v>0</v>
      </c>
      <c r="R56" s="69"/>
      <c r="S56" s="93">
        <f>Q56+R56</f>
        <v>0</v>
      </c>
      <c r="T56" s="95">
        <v>12000</v>
      </c>
      <c r="U56" s="69"/>
      <c r="V56" s="93">
        <f>T56+U56</f>
        <v>12000</v>
      </c>
      <c r="W56" s="178"/>
      <c r="X56" s="112"/>
      <c r="Y56" s="184"/>
      <c r="Z56" s="178">
        <f>Z57</f>
        <v>100</v>
      </c>
      <c r="AA56" s="178">
        <f t="shared" ref="AA56:AB56" si="64">AA57</f>
        <v>0</v>
      </c>
      <c r="AB56" s="184">
        <f t="shared" si="64"/>
        <v>100</v>
      </c>
      <c r="AC56" s="178"/>
      <c r="AD56" s="112"/>
      <c r="AE56" s="184"/>
      <c r="AF56" s="178"/>
      <c r="AG56" s="2"/>
      <c r="AH56" s="96"/>
    </row>
    <row r="57" spans="1:35" ht="19.5" customHeight="1" x14ac:dyDescent="0.3">
      <c r="A57" s="61"/>
      <c r="B57" s="6" t="s">
        <v>35</v>
      </c>
      <c r="C57" s="8"/>
      <c r="D57" s="17"/>
      <c r="E57" s="18"/>
      <c r="F57" s="44"/>
      <c r="G57" s="18"/>
      <c r="H57" s="141"/>
      <c r="I57" s="109"/>
      <c r="J57" s="44"/>
      <c r="K57" s="18"/>
      <c r="L57" s="18"/>
      <c r="M57" s="179"/>
      <c r="N57" s="174"/>
      <c r="O57" s="71"/>
      <c r="P57" s="179"/>
      <c r="Q57" s="95"/>
      <c r="R57" s="69"/>
      <c r="S57" s="93"/>
      <c r="T57" s="95">
        <v>12000</v>
      </c>
      <c r="U57" s="69"/>
      <c r="V57" s="93">
        <f>T57+U57</f>
        <v>12000</v>
      </c>
      <c r="W57" s="178"/>
      <c r="X57" s="112"/>
      <c r="Y57" s="184"/>
      <c r="Z57" s="178">
        <v>100</v>
      </c>
      <c r="AA57" s="112"/>
      <c r="AB57" s="184">
        <f>Z57+AA57</f>
        <v>100</v>
      </c>
      <c r="AC57" s="178"/>
      <c r="AD57" s="112"/>
      <c r="AE57" s="184"/>
      <c r="AF57" s="178"/>
      <c r="AG57" s="2"/>
      <c r="AH57" s="96"/>
    </row>
    <row r="58" spans="1:35" ht="19.5" customHeight="1" x14ac:dyDescent="0.3">
      <c r="A58" s="61"/>
      <c r="B58" s="6" t="s">
        <v>36</v>
      </c>
      <c r="C58" s="8"/>
      <c r="D58" s="17"/>
      <c r="E58" s="18"/>
      <c r="F58" s="44"/>
      <c r="G58" s="18"/>
      <c r="H58" s="141"/>
      <c r="I58" s="109"/>
      <c r="J58" s="44"/>
      <c r="K58" s="18"/>
      <c r="L58" s="18"/>
      <c r="M58" s="179"/>
      <c r="N58" s="174"/>
      <c r="O58" s="71"/>
      <c r="P58" s="179"/>
      <c r="Q58" s="95"/>
      <c r="R58" s="69"/>
      <c r="S58" s="93"/>
      <c r="T58" s="95"/>
      <c r="U58" s="69"/>
      <c r="V58" s="93"/>
      <c r="W58" s="178">
        <v>116790.8</v>
      </c>
      <c r="X58" s="112"/>
      <c r="Y58" s="184">
        <f>W58+X58</f>
        <v>116790.8</v>
      </c>
      <c r="Z58" s="178">
        <v>646451.80000000005</v>
      </c>
      <c r="AA58" s="112"/>
      <c r="AB58" s="184">
        <f>Z58+AA58</f>
        <v>646451.80000000005</v>
      </c>
      <c r="AC58" s="178"/>
      <c r="AD58" s="112"/>
      <c r="AE58" s="184"/>
      <c r="AF58" s="178"/>
      <c r="AG58" s="2"/>
      <c r="AH58" s="96"/>
    </row>
    <row r="59" spans="1:35" ht="110.25" customHeight="1" x14ac:dyDescent="0.3">
      <c r="A59" s="59">
        <v>31</v>
      </c>
      <c r="B59" s="6" t="s">
        <v>97</v>
      </c>
      <c r="C59" s="13" t="s">
        <v>16</v>
      </c>
      <c r="D59" s="7">
        <v>2022</v>
      </c>
      <c r="E59" s="7">
        <v>26.16</v>
      </c>
      <c r="F59" s="12"/>
      <c r="G59" s="7"/>
      <c r="H59" s="137"/>
      <c r="I59" s="304">
        <v>758640</v>
      </c>
      <c r="J59" s="12"/>
      <c r="K59" s="18"/>
      <c r="L59" s="7"/>
      <c r="M59" s="179"/>
      <c r="N59" s="174"/>
      <c r="O59" s="71"/>
      <c r="P59" s="179"/>
      <c r="Q59" s="95"/>
      <c r="R59" s="48">
        <f>R61+R60</f>
        <v>489580.79999999999</v>
      </c>
      <c r="S59" s="91">
        <f t="shared" ref="S59:S63" si="65">Q59+R59</f>
        <v>489580.79999999999</v>
      </c>
      <c r="T59" s="95">
        <f>T60+T61</f>
        <v>0</v>
      </c>
      <c r="U59" s="95">
        <f t="shared" ref="U59:V59" si="66">U60+U61</f>
        <v>269059.20000000001</v>
      </c>
      <c r="V59" s="310">
        <f t="shared" si="66"/>
        <v>269059.20000000001</v>
      </c>
      <c r="W59" s="197">
        <f>W61</f>
        <v>0</v>
      </c>
      <c r="X59" s="111"/>
      <c r="Y59" s="215"/>
      <c r="Z59" s="197">
        <f t="shared" ref="Z59:AF59" si="67">Z61</f>
        <v>0</v>
      </c>
      <c r="AA59" s="111"/>
      <c r="AB59" s="215"/>
      <c r="AC59" s="197">
        <f t="shared" si="67"/>
        <v>0</v>
      </c>
      <c r="AD59" s="111"/>
      <c r="AE59" s="215"/>
      <c r="AF59" s="197">
        <f t="shared" si="67"/>
        <v>0</v>
      </c>
      <c r="AG59" s="111"/>
      <c r="AH59" s="96"/>
      <c r="AI59" s="305">
        <f>I59-S59-V59-Y59-AB59</f>
        <v>0</v>
      </c>
    </row>
    <row r="60" spans="1:35" ht="21" customHeight="1" x14ac:dyDescent="0.3">
      <c r="A60" s="59"/>
      <c r="B60" s="26" t="s">
        <v>22</v>
      </c>
      <c r="C60" s="33"/>
      <c r="D60" s="28"/>
      <c r="E60" s="28"/>
      <c r="F60" s="34"/>
      <c r="G60" s="28"/>
      <c r="H60" s="138"/>
      <c r="I60" s="165"/>
      <c r="J60" s="34"/>
      <c r="K60" s="62"/>
      <c r="L60" s="28"/>
      <c r="M60" s="181"/>
      <c r="N60" s="175"/>
      <c r="O60" s="36"/>
      <c r="P60" s="181"/>
      <c r="Q60" s="85"/>
      <c r="R60" s="35">
        <v>478641.6</v>
      </c>
      <c r="S60" s="92">
        <f>Q60+R60</f>
        <v>478641.6</v>
      </c>
      <c r="T60" s="85"/>
      <c r="U60" s="35">
        <f>U63</f>
        <v>269059.20000000001</v>
      </c>
      <c r="V60" s="92">
        <f>V63</f>
        <v>269059.20000000001</v>
      </c>
      <c r="W60" s="189"/>
      <c r="X60" s="37"/>
      <c r="Y60" s="203"/>
      <c r="Z60" s="189"/>
      <c r="AA60" s="37"/>
      <c r="AB60" s="203"/>
      <c r="AC60" s="189"/>
      <c r="AD60" s="37"/>
      <c r="AE60" s="203"/>
      <c r="AF60" s="189"/>
      <c r="AG60" s="189"/>
      <c r="AH60" s="203"/>
    </row>
    <row r="61" spans="1:35" ht="21.75" customHeight="1" x14ac:dyDescent="0.3">
      <c r="A61" s="59"/>
      <c r="B61" s="6" t="s">
        <v>23</v>
      </c>
      <c r="C61" s="13"/>
      <c r="D61" s="7"/>
      <c r="E61" s="7"/>
      <c r="F61" s="12"/>
      <c r="G61" s="7"/>
      <c r="H61" s="137"/>
      <c r="I61" s="105"/>
      <c r="J61" s="12"/>
      <c r="K61" s="44"/>
      <c r="L61" s="7"/>
      <c r="M61" s="179"/>
      <c r="N61" s="174"/>
      <c r="O61" s="71"/>
      <c r="P61" s="179"/>
      <c r="Q61" s="95"/>
      <c r="R61" s="69">
        <f>R62</f>
        <v>10939.2</v>
      </c>
      <c r="S61" s="91">
        <f>S62</f>
        <v>10939.2</v>
      </c>
      <c r="T61" s="95"/>
      <c r="U61" s="69"/>
      <c r="V61" s="93"/>
      <c r="W61" s="178"/>
      <c r="X61" s="112"/>
      <c r="Y61" s="184"/>
      <c r="Z61" s="178"/>
      <c r="AA61" s="112"/>
      <c r="AB61" s="184"/>
      <c r="AC61" s="178"/>
      <c r="AD61" s="112"/>
      <c r="AE61" s="184"/>
      <c r="AF61" s="178"/>
      <c r="AG61" s="2"/>
      <c r="AH61" s="96"/>
    </row>
    <row r="62" spans="1:35" ht="19.5" customHeight="1" x14ac:dyDescent="0.3">
      <c r="A62" s="59"/>
      <c r="B62" s="6" t="s">
        <v>35</v>
      </c>
      <c r="C62" s="13"/>
      <c r="D62" s="7"/>
      <c r="E62" s="7"/>
      <c r="F62" s="12"/>
      <c r="G62" s="7"/>
      <c r="H62" s="137"/>
      <c r="I62" s="105"/>
      <c r="J62" s="12"/>
      <c r="K62" s="44"/>
      <c r="L62" s="7"/>
      <c r="M62" s="179"/>
      <c r="N62" s="174"/>
      <c r="O62" s="71"/>
      <c r="P62" s="179"/>
      <c r="Q62" s="95"/>
      <c r="R62" s="69">
        <v>10939.2</v>
      </c>
      <c r="S62" s="93">
        <f t="shared" si="65"/>
        <v>10939.2</v>
      </c>
      <c r="T62" s="95"/>
      <c r="U62" s="69"/>
      <c r="V62" s="93"/>
      <c r="W62" s="197"/>
      <c r="X62" s="111"/>
      <c r="Y62" s="215"/>
      <c r="Z62" s="178"/>
      <c r="AA62" s="112"/>
      <c r="AB62" s="184"/>
      <c r="AC62" s="178"/>
      <c r="AD62" s="112"/>
      <c r="AE62" s="184"/>
      <c r="AF62" s="178"/>
      <c r="AG62" s="2"/>
      <c r="AH62" s="96"/>
    </row>
    <row r="63" spans="1:35" ht="18.75" customHeight="1" x14ac:dyDescent="0.3">
      <c r="A63" s="59"/>
      <c r="B63" s="6" t="s">
        <v>36</v>
      </c>
      <c r="C63" s="13"/>
      <c r="D63" s="7"/>
      <c r="E63" s="7"/>
      <c r="F63" s="12"/>
      <c r="G63" s="7"/>
      <c r="H63" s="137"/>
      <c r="I63" s="105"/>
      <c r="J63" s="12"/>
      <c r="K63" s="44"/>
      <c r="L63" s="7"/>
      <c r="M63" s="179"/>
      <c r="N63" s="174"/>
      <c r="O63" s="71"/>
      <c r="P63" s="179"/>
      <c r="Q63" s="95"/>
      <c r="R63" s="69">
        <v>478641.6</v>
      </c>
      <c r="S63" s="93">
        <f t="shared" si="65"/>
        <v>478641.6</v>
      </c>
      <c r="T63" s="95"/>
      <c r="U63" s="69">
        <v>269059.20000000001</v>
      </c>
      <c r="V63" s="93">
        <f>T63+U63</f>
        <v>269059.20000000001</v>
      </c>
      <c r="W63" s="190"/>
      <c r="X63" s="50"/>
      <c r="Y63" s="204"/>
      <c r="Z63" s="178"/>
      <c r="AA63" s="112"/>
      <c r="AB63" s="184"/>
      <c r="AC63" s="178"/>
      <c r="AD63" s="112"/>
      <c r="AE63" s="184"/>
      <c r="AF63" s="178"/>
      <c r="AG63" s="2"/>
      <c r="AH63" s="96"/>
    </row>
    <row r="64" spans="1:35" ht="105" customHeight="1" x14ac:dyDescent="0.3">
      <c r="A64" s="59"/>
      <c r="B64" s="124" t="s">
        <v>98</v>
      </c>
      <c r="C64" s="13" t="s">
        <v>16</v>
      </c>
      <c r="D64" s="7">
        <v>2026</v>
      </c>
      <c r="E64" s="173">
        <v>16</v>
      </c>
      <c r="F64" s="12"/>
      <c r="G64" s="7"/>
      <c r="H64" s="137"/>
      <c r="I64" s="93">
        <v>464000</v>
      </c>
      <c r="J64" s="12"/>
      <c r="K64" s="44"/>
      <c r="L64" s="7"/>
      <c r="M64" s="179"/>
      <c r="N64" s="174"/>
      <c r="O64" s="71"/>
      <c r="P64" s="179"/>
      <c r="Q64" s="95">
        <f>Q65+Q66</f>
        <v>0</v>
      </c>
      <c r="R64" s="69">
        <f>R65+R66</f>
        <v>0</v>
      </c>
      <c r="S64" s="93">
        <f>S65+S66</f>
        <v>0</v>
      </c>
      <c r="T64" s="95"/>
      <c r="U64" s="69"/>
      <c r="V64" s="93"/>
      <c r="W64" s="190">
        <f>W65+W66</f>
        <v>10716.9</v>
      </c>
      <c r="X64" s="190">
        <f t="shared" ref="X64:Y64" si="68">X65+X66</f>
        <v>-10716.9</v>
      </c>
      <c r="Y64" s="312">
        <f t="shared" si="68"/>
        <v>0</v>
      </c>
      <c r="Z64" s="197">
        <f>Z65+Z66</f>
        <v>250000</v>
      </c>
      <c r="AA64" s="197">
        <f t="shared" ref="AA64:AB64" si="69">AA65+AA66</f>
        <v>-239283.1</v>
      </c>
      <c r="AB64" s="313">
        <f t="shared" si="69"/>
        <v>10716.9</v>
      </c>
      <c r="AC64" s="197">
        <f>AC65+AC66</f>
        <v>203283.1</v>
      </c>
      <c r="AD64" s="197">
        <f t="shared" ref="AD64:AE64" si="70">AD65+AD66</f>
        <v>46716.899999999994</v>
      </c>
      <c r="AE64" s="313">
        <f t="shared" si="70"/>
        <v>250000</v>
      </c>
      <c r="AF64" s="197">
        <f>AF65+AF66</f>
        <v>0</v>
      </c>
      <c r="AG64" s="197">
        <f t="shared" ref="AG64:AH64" si="71">AG65+AG66</f>
        <v>203283.1</v>
      </c>
      <c r="AH64" s="197">
        <f t="shared" si="71"/>
        <v>203283.1</v>
      </c>
      <c r="AI64" s="305">
        <f>I64-S64-Y64-AB64-AE64-AH64</f>
        <v>0</v>
      </c>
    </row>
    <row r="65" spans="1:35" ht="18.75" customHeight="1" x14ac:dyDescent="0.3">
      <c r="A65" s="59"/>
      <c r="B65" s="26" t="s">
        <v>22</v>
      </c>
      <c r="C65" s="33"/>
      <c r="D65" s="28"/>
      <c r="E65" s="28"/>
      <c r="F65" s="34"/>
      <c r="G65" s="28"/>
      <c r="H65" s="138"/>
      <c r="I65" s="165"/>
      <c r="J65" s="34"/>
      <c r="K65" s="62"/>
      <c r="L65" s="28"/>
      <c r="M65" s="181"/>
      <c r="N65" s="175"/>
      <c r="O65" s="36"/>
      <c r="P65" s="181"/>
      <c r="Q65" s="85"/>
      <c r="R65" s="35"/>
      <c r="S65" s="92"/>
      <c r="T65" s="85"/>
      <c r="U65" s="35"/>
      <c r="V65" s="92"/>
      <c r="W65" s="189"/>
      <c r="X65" s="37"/>
      <c r="Y65" s="203"/>
      <c r="Z65" s="198">
        <f>Z68</f>
        <v>250000</v>
      </c>
      <c r="AA65" s="198">
        <f t="shared" ref="AA65:AB65" si="72">AA68</f>
        <v>-250000</v>
      </c>
      <c r="AB65" s="314">
        <f t="shared" si="72"/>
        <v>0</v>
      </c>
      <c r="AC65" s="198">
        <f>AC68</f>
        <v>203283.1</v>
      </c>
      <c r="AD65" s="198">
        <f t="shared" ref="AD65:AE65" si="73">AD68</f>
        <v>46716.899999999994</v>
      </c>
      <c r="AE65" s="314">
        <f t="shared" si="73"/>
        <v>250000</v>
      </c>
      <c r="AF65" s="198">
        <f>AF68</f>
        <v>0</v>
      </c>
      <c r="AG65" s="198">
        <f t="shared" ref="AG65:AH65" si="74">AG68</f>
        <v>203283.1</v>
      </c>
      <c r="AH65" s="198">
        <f t="shared" si="74"/>
        <v>203283.1</v>
      </c>
    </row>
    <row r="66" spans="1:35" ht="18.75" customHeight="1" x14ac:dyDescent="0.3">
      <c r="A66" s="59"/>
      <c r="B66" s="6" t="s">
        <v>23</v>
      </c>
      <c r="C66" s="13"/>
      <c r="D66" s="7"/>
      <c r="E66" s="7"/>
      <c r="F66" s="12"/>
      <c r="G66" s="7"/>
      <c r="H66" s="137"/>
      <c r="I66" s="105"/>
      <c r="J66" s="12"/>
      <c r="K66" s="44"/>
      <c r="L66" s="7"/>
      <c r="M66" s="179"/>
      <c r="N66" s="174"/>
      <c r="O66" s="71"/>
      <c r="P66" s="179"/>
      <c r="Q66" s="95">
        <f>Q67+Q68</f>
        <v>0</v>
      </c>
      <c r="R66" s="69">
        <f t="shared" ref="R66:S66" si="75">R67+R68</f>
        <v>0</v>
      </c>
      <c r="S66" s="91">
        <f t="shared" si="75"/>
        <v>0</v>
      </c>
      <c r="T66" s="95"/>
      <c r="U66" s="69"/>
      <c r="V66" s="93"/>
      <c r="W66" s="190">
        <f>W67</f>
        <v>10716.9</v>
      </c>
      <c r="X66" s="190">
        <f t="shared" ref="X66:Y66" si="76">X67</f>
        <v>-10716.9</v>
      </c>
      <c r="Y66" s="312">
        <f t="shared" si="76"/>
        <v>0</v>
      </c>
      <c r="Z66" s="178"/>
      <c r="AA66" s="112">
        <f>AA67</f>
        <v>10716.9</v>
      </c>
      <c r="AB66" s="112">
        <f>AB67</f>
        <v>10716.9</v>
      </c>
      <c r="AC66" s="178"/>
      <c r="AD66" s="112"/>
      <c r="AE66" s="184"/>
      <c r="AF66" s="178"/>
      <c r="AG66" s="2"/>
      <c r="AH66" s="96"/>
    </row>
    <row r="67" spans="1:35" ht="18.75" customHeight="1" x14ac:dyDescent="0.3">
      <c r="A67" s="59"/>
      <c r="B67" s="6" t="s">
        <v>35</v>
      </c>
      <c r="C67" s="13"/>
      <c r="D67" s="7"/>
      <c r="E67" s="7"/>
      <c r="F67" s="12"/>
      <c r="G67" s="7"/>
      <c r="H67" s="137"/>
      <c r="I67" s="105"/>
      <c r="J67" s="12"/>
      <c r="K67" s="44"/>
      <c r="L67" s="7"/>
      <c r="M67" s="179"/>
      <c r="N67" s="174"/>
      <c r="O67" s="71"/>
      <c r="P67" s="179"/>
      <c r="Q67" s="95"/>
      <c r="R67" s="69"/>
      <c r="S67" s="93">
        <f>Q67+R67</f>
        <v>0</v>
      </c>
      <c r="T67" s="95"/>
      <c r="U67" s="69"/>
      <c r="V67" s="93"/>
      <c r="W67" s="190">
        <v>10716.9</v>
      </c>
      <c r="X67" s="299">
        <v>-10716.9</v>
      </c>
      <c r="Y67" s="204">
        <f>W67+X67</f>
        <v>0</v>
      </c>
      <c r="Z67" s="178"/>
      <c r="AA67" s="112">
        <v>10716.9</v>
      </c>
      <c r="AB67" s="184">
        <f>Z67+AA67</f>
        <v>10716.9</v>
      </c>
      <c r="AC67" s="178"/>
      <c r="AD67" s="112"/>
      <c r="AE67" s="184"/>
      <c r="AF67" s="178"/>
      <c r="AG67" s="2"/>
      <c r="AH67" s="96"/>
    </row>
    <row r="68" spans="1:35" ht="18.75" customHeight="1" x14ac:dyDescent="0.3">
      <c r="A68" s="59"/>
      <c r="B68" s="6" t="s">
        <v>36</v>
      </c>
      <c r="C68" s="13"/>
      <c r="D68" s="7"/>
      <c r="E68" s="7"/>
      <c r="F68" s="12"/>
      <c r="G68" s="7"/>
      <c r="H68" s="137"/>
      <c r="I68" s="105"/>
      <c r="J68" s="12"/>
      <c r="K68" s="44"/>
      <c r="L68" s="7"/>
      <c r="M68" s="179"/>
      <c r="N68" s="174"/>
      <c r="O68" s="71"/>
      <c r="P68" s="179"/>
      <c r="Q68" s="95"/>
      <c r="R68" s="69"/>
      <c r="S68" s="93"/>
      <c r="T68" s="95"/>
      <c r="U68" s="69"/>
      <c r="V68" s="93"/>
      <c r="W68" s="190"/>
      <c r="X68" s="50"/>
      <c r="Y68" s="204"/>
      <c r="Z68" s="178">
        <v>250000</v>
      </c>
      <c r="AA68" s="112">
        <f>-250000</f>
        <v>-250000</v>
      </c>
      <c r="AB68" s="184">
        <f>Z68+AA68</f>
        <v>0</v>
      </c>
      <c r="AC68" s="178">
        <v>203283.1</v>
      </c>
      <c r="AD68" s="112">
        <f>-203283.1+250000</f>
        <v>46716.899999999994</v>
      </c>
      <c r="AE68" s="184">
        <f>AC68+AD68</f>
        <v>250000</v>
      </c>
      <c r="AF68" s="178"/>
      <c r="AG68" s="2">
        <v>203283.1</v>
      </c>
      <c r="AH68" s="184">
        <f>AF68+AG68</f>
        <v>203283.1</v>
      </c>
    </row>
    <row r="69" spans="1:35" ht="108.75" customHeight="1" x14ac:dyDescent="0.3">
      <c r="A69" s="59"/>
      <c r="B69" s="124" t="s">
        <v>99</v>
      </c>
      <c r="C69" s="13" t="s">
        <v>16</v>
      </c>
      <c r="D69" s="7">
        <v>2026</v>
      </c>
      <c r="E69" s="7">
        <v>20.2</v>
      </c>
      <c r="F69" s="12"/>
      <c r="G69" s="7"/>
      <c r="H69" s="137"/>
      <c r="I69" s="93">
        <v>658120</v>
      </c>
      <c r="J69" s="12"/>
      <c r="K69" s="44"/>
      <c r="L69" s="7"/>
      <c r="M69" s="179"/>
      <c r="N69" s="174"/>
      <c r="O69" s="71"/>
      <c r="P69" s="179"/>
      <c r="Q69" s="95"/>
      <c r="R69" s="69"/>
      <c r="S69" s="93"/>
      <c r="T69" s="95"/>
      <c r="U69" s="69"/>
      <c r="V69" s="93"/>
      <c r="W69" s="252">
        <f>W70+W71</f>
        <v>18010.5</v>
      </c>
      <c r="X69" s="252">
        <f t="shared" ref="X69:Y69" si="77">X70+X71</f>
        <v>-18010.5</v>
      </c>
      <c r="Y69" s="256">
        <f t="shared" si="77"/>
        <v>0</v>
      </c>
      <c r="Z69" s="197">
        <f>Z70+Z71</f>
        <v>320000</v>
      </c>
      <c r="AA69" s="197">
        <f t="shared" ref="AA69:AB69" si="78">AA70+AA71</f>
        <v>-301989.5</v>
      </c>
      <c r="AB69" s="313">
        <f t="shared" si="78"/>
        <v>18010.5</v>
      </c>
      <c r="AC69" s="197">
        <f>AC70+AC71</f>
        <v>320109.5</v>
      </c>
      <c r="AD69" s="197">
        <f t="shared" ref="AD69:AE69" si="79">AD70+AD71</f>
        <v>-109.5</v>
      </c>
      <c r="AE69" s="313">
        <f t="shared" si="79"/>
        <v>320000</v>
      </c>
      <c r="AF69" s="197">
        <f>AF70+AF71</f>
        <v>0</v>
      </c>
      <c r="AG69" s="197">
        <f t="shared" ref="AG69:AH69" si="80">AG70+AG71</f>
        <v>320109.5</v>
      </c>
      <c r="AH69" s="197">
        <f t="shared" si="80"/>
        <v>320109.5</v>
      </c>
      <c r="AI69" s="305">
        <f>I69-Y69-AB69-AE69-AH69</f>
        <v>0</v>
      </c>
    </row>
    <row r="70" spans="1:35" ht="18.75" customHeight="1" x14ac:dyDescent="0.3">
      <c r="A70" s="59"/>
      <c r="B70" s="26" t="s">
        <v>22</v>
      </c>
      <c r="C70" s="33"/>
      <c r="D70" s="28"/>
      <c r="E70" s="28"/>
      <c r="F70" s="34"/>
      <c r="G70" s="28"/>
      <c r="H70" s="138"/>
      <c r="I70" s="165"/>
      <c r="J70" s="34"/>
      <c r="K70" s="62"/>
      <c r="L70" s="28"/>
      <c r="M70" s="181"/>
      <c r="N70" s="175"/>
      <c r="O70" s="36"/>
      <c r="P70" s="181"/>
      <c r="Q70" s="85"/>
      <c r="R70" s="35"/>
      <c r="S70" s="92"/>
      <c r="T70" s="85"/>
      <c r="U70" s="35"/>
      <c r="V70" s="92"/>
      <c r="W70" s="253"/>
      <c r="X70" s="254"/>
      <c r="Y70" s="255"/>
      <c r="Z70" s="198">
        <f>Z73</f>
        <v>320000</v>
      </c>
      <c r="AA70" s="198">
        <f t="shared" ref="AA70:AE70" si="81">AA73</f>
        <v>-320000</v>
      </c>
      <c r="AB70" s="314">
        <f t="shared" si="81"/>
        <v>0</v>
      </c>
      <c r="AC70" s="198">
        <f>AC73</f>
        <v>320109.5</v>
      </c>
      <c r="AD70" s="198">
        <f t="shared" si="81"/>
        <v>-109.5</v>
      </c>
      <c r="AE70" s="314">
        <f t="shared" si="81"/>
        <v>320000</v>
      </c>
      <c r="AF70" s="198">
        <f>AF73</f>
        <v>0</v>
      </c>
      <c r="AG70" s="198">
        <f t="shared" ref="AG70:AH70" si="82">AG73</f>
        <v>320109.5</v>
      </c>
      <c r="AH70" s="198">
        <f t="shared" si="82"/>
        <v>320109.5</v>
      </c>
    </row>
    <row r="71" spans="1:35" ht="18.75" customHeight="1" x14ac:dyDescent="0.3">
      <c r="A71" s="59"/>
      <c r="B71" s="6" t="s">
        <v>23</v>
      </c>
      <c r="C71" s="13"/>
      <c r="D71" s="7"/>
      <c r="E71" s="7"/>
      <c r="F71" s="12"/>
      <c r="G71" s="7"/>
      <c r="H71" s="137"/>
      <c r="I71" s="105"/>
      <c r="J71" s="12"/>
      <c r="K71" s="44"/>
      <c r="L71" s="7"/>
      <c r="M71" s="179"/>
      <c r="N71" s="174"/>
      <c r="O71" s="71"/>
      <c r="P71" s="179"/>
      <c r="Q71" s="95"/>
      <c r="R71" s="69"/>
      <c r="S71" s="93"/>
      <c r="T71" s="95"/>
      <c r="U71" s="69"/>
      <c r="V71" s="93"/>
      <c r="W71" s="252">
        <f>W72+W73</f>
        <v>18010.5</v>
      </c>
      <c r="X71" s="252">
        <f t="shared" ref="X71:Y71" si="83">X72+X73</f>
        <v>-18010.5</v>
      </c>
      <c r="Y71" s="256">
        <f t="shared" si="83"/>
        <v>0</v>
      </c>
      <c r="Z71" s="178"/>
      <c r="AA71" s="112">
        <f>AA72</f>
        <v>18010.5</v>
      </c>
      <c r="AB71" s="112">
        <f>AB72</f>
        <v>18010.5</v>
      </c>
      <c r="AC71" s="178"/>
      <c r="AD71" s="112"/>
      <c r="AE71" s="184"/>
      <c r="AF71" s="178"/>
      <c r="AG71" s="2"/>
      <c r="AH71" s="96"/>
    </row>
    <row r="72" spans="1:35" ht="18.75" customHeight="1" x14ac:dyDescent="0.3">
      <c r="A72" s="59"/>
      <c r="B72" s="6" t="s">
        <v>35</v>
      </c>
      <c r="C72" s="13"/>
      <c r="D72" s="7"/>
      <c r="E72" s="7"/>
      <c r="F72" s="12"/>
      <c r="G72" s="7"/>
      <c r="H72" s="137"/>
      <c r="I72" s="105"/>
      <c r="J72" s="12"/>
      <c r="K72" s="44"/>
      <c r="L72" s="7"/>
      <c r="M72" s="179"/>
      <c r="N72" s="174"/>
      <c r="O72" s="71"/>
      <c r="P72" s="179"/>
      <c r="Q72" s="95"/>
      <c r="R72" s="69"/>
      <c r="S72" s="93"/>
      <c r="T72" s="95"/>
      <c r="U72" s="69"/>
      <c r="V72" s="93"/>
      <c r="W72" s="252">
        <f>18010.5</f>
        <v>18010.5</v>
      </c>
      <c r="X72" s="252">
        <f>-18010.5</f>
        <v>-18010.5</v>
      </c>
      <c r="Y72" s="256">
        <f>W72+X72</f>
        <v>0</v>
      </c>
      <c r="Z72" s="178"/>
      <c r="AA72" s="112">
        <v>18010.5</v>
      </c>
      <c r="AB72" s="184">
        <f>Z72+AA72</f>
        <v>18010.5</v>
      </c>
      <c r="AC72" s="178"/>
      <c r="AD72" s="112"/>
      <c r="AE72" s="184"/>
      <c r="AF72" s="178"/>
      <c r="AG72" s="2"/>
      <c r="AH72" s="96"/>
    </row>
    <row r="73" spans="1:35" ht="18.75" customHeight="1" x14ac:dyDescent="0.3">
      <c r="A73" s="59"/>
      <c r="B73" s="6" t="s">
        <v>36</v>
      </c>
      <c r="C73" s="13"/>
      <c r="D73" s="7"/>
      <c r="E73" s="7"/>
      <c r="F73" s="12"/>
      <c r="G73" s="7"/>
      <c r="H73" s="137"/>
      <c r="I73" s="105"/>
      <c r="J73" s="12"/>
      <c r="K73" s="44"/>
      <c r="L73" s="7"/>
      <c r="M73" s="179"/>
      <c r="N73" s="174"/>
      <c r="O73" s="71"/>
      <c r="P73" s="179"/>
      <c r="Q73" s="95"/>
      <c r="R73" s="69"/>
      <c r="S73" s="93"/>
      <c r="T73" s="95"/>
      <c r="U73" s="69"/>
      <c r="V73" s="93"/>
      <c r="W73" s="252"/>
      <c r="X73" s="257"/>
      <c r="Y73" s="256"/>
      <c r="Z73" s="112">
        <v>320000</v>
      </c>
      <c r="AA73" s="112">
        <f>-320000</f>
        <v>-320000</v>
      </c>
      <c r="AB73" s="184">
        <f>Z73+AA73</f>
        <v>0</v>
      </c>
      <c r="AC73" s="112">
        <v>320109.5</v>
      </c>
      <c r="AD73" s="112">
        <f>-320109.5+320000</f>
        <v>-109.5</v>
      </c>
      <c r="AE73" s="184">
        <f>AC73+AD73</f>
        <v>320000</v>
      </c>
      <c r="AF73" s="178"/>
      <c r="AG73" s="2">
        <v>320109.5</v>
      </c>
      <c r="AH73" s="184">
        <f>AF73+AG73</f>
        <v>320109.5</v>
      </c>
    </row>
    <row r="74" spans="1:35" ht="154.5" customHeight="1" x14ac:dyDescent="0.3">
      <c r="A74" s="59">
        <v>24</v>
      </c>
      <c r="B74" s="63" t="s">
        <v>68</v>
      </c>
      <c r="C74" s="64"/>
      <c r="D74" s="65" t="s">
        <v>48</v>
      </c>
      <c r="E74" s="65">
        <v>2.35</v>
      </c>
      <c r="F74" s="66"/>
      <c r="G74" s="65"/>
      <c r="H74" s="143"/>
      <c r="I74" s="123">
        <v>600930.19999999995</v>
      </c>
      <c r="J74" s="66"/>
      <c r="K74" s="67"/>
      <c r="L74" s="65"/>
      <c r="M74" s="182">
        <f t="shared" ref="M74:AB74" si="84">M75+M76</f>
        <v>0</v>
      </c>
      <c r="N74" s="176">
        <f t="shared" si="84"/>
        <v>0</v>
      </c>
      <c r="O74" s="73">
        <f t="shared" si="84"/>
        <v>0</v>
      </c>
      <c r="P74" s="182">
        <f t="shared" si="84"/>
        <v>0</v>
      </c>
      <c r="Q74" s="176">
        <f t="shared" si="84"/>
        <v>3057.5</v>
      </c>
      <c r="R74" s="73">
        <f t="shared" si="84"/>
        <v>1698.2</v>
      </c>
      <c r="S74" s="182">
        <f>Q74+R74</f>
        <v>4755.7</v>
      </c>
      <c r="T74" s="176">
        <f t="shared" si="84"/>
        <v>10531.7</v>
      </c>
      <c r="U74" s="73">
        <f t="shared" si="84"/>
        <v>1953.6</v>
      </c>
      <c r="V74" s="182">
        <f t="shared" si="84"/>
        <v>12485.300000000001</v>
      </c>
      <c r="W74" s="176">
        <f t="shared" si="84"/>
        <v>293670.5</v>
      </c>
      <c r="X74" s="176">
        <f t="shared" si="84"/>
        <v>0</v>
      </c>
      <c r="Y74" s="182">
        <f t="shared" si="84"/>
        <v>293670.5</v>
      </c>
      <c r="Z74" s="176">
        <f t="shared" si="84"/>
        <v>290018.7</v>
      </c>
      <c r="AA74" s="176">
        <f t="shared" si="84"/>
        <v>0</v>
      </c>
      <c r="AB74" s="182">
        <f t="shared" si="84"/>
        <v>290018.7</v>
      </c>
      <c r="AC74" s="221"/>
      <c r="AD74" s="116"/>
      <c r="AE74" s="229"/>
      <c r="AF74" s="258"/>
      <c r="AG74" s="259"/>
      <c r="AH74" s="260"/>
      <c r="AI74" s="40">
        <f>I74-M74-P74-S74-V74-Y74-AB74</f>
        <v>0</v>
      </c>
    </row>
    <row r="75" spans="1:35" ht="18.75" customHeight="1" x14ac:dyDescent="0.3">
      <c r="A75" s="59"/>
      <c r="B75" s="26" t="s">
        <v>22</v>
      </c>
      <c r="C75" s="33"/>
      <c r="D75" s="28"/>
      <c r="E75" s="28"/>
      <c r="F75" s="34"/>
      <c r="G75" s="28"/>
      <c r="H75" s="138"/>
      <c r="I75" s="92"/>
      <c r="J75" s="34"/>
      <c r="K75" s="62"/>
      <c r="L75" s="28"/>
      <c r="M75" s="181">
        <v>0</v>
      </c>
      <c r="N75" s="175"/>
      <c r="O75" s="36"/>
      <c r="P75" s="181">
        <f>N75+O75</f>
        <v>0</v>
      </c>
      <c r="Q75" s="85"/>
      <c r="R75" s="35"/>
      <c r="S75" s="92">
        <f>Q75+R75</f>
        <v>0</v>
      </c>
      <c r="T75" s="175"/>
      <c r="U75" s="36"/>
      <c r="V75" s="181"/>
      <c r="W75" s="175">
        <f>W78</f>
        <v>293670.5</v>
      </c>
      <c r="X75" s="175">
        <f t="shared" ref="X75:Y75" si="85">X78</f>
        <v>0</v>
      </c>
      <c r="Y75" s="181">
        <f t="shared" si="85"/>
        <v>293670.5</v>
      </c>
      <c r="Z75" s="175">
        <f>Z78</f>
        <v>290018.7</v>
      </c>
      <c r="AA75" s="175">
        <f t="shared" ref="AA75:AB75" si="86">AA78</f>
        <v>0</v>
      </c>
      <c r="AB75" s="181">
        <f t="shared" si="86"/>
        <v>290018.7</v>
      </c>
      <c r="AC75" s="198"/>
      <c r="AD75" s="113"/>
      <c r="AE75" s="216"/>
      <c r="AF75" s="198"/>
      <c r="AG75" s="198"/>
      <c r="AH75" s="216"/>
    </row>
    <row r="76" spans="1:35" ht="18.75" customHeight="1" x14ac:dyDescent="0.3">
      <c r="A76" s="59"/>
      <c r="B76" s="6" t="s">
        <v>23</v>
      </c>
      <c r="C76" s="13"/>
      <c r="D76" s="7"/>
      <c r="E76" s="7"/>
      <c r="F76" s="12"/>
      <c r="G76" s="7"/>
      <c r="H76" s="137"/>
      <c r="I76" s="93"/>
      <c r="J76" s="12"/>
      <c r="K76" s="44"/>
      <c r="L76" s="7"/>
      <c r="M76" s="179">
        <v>0</v>
      </c>
      <c r="N76" s="174">
        <f>N77+N78</f>
        <v>0</v>
      </c>
      <c r="O76" s="71">
        <f t="shared" ref="O76:R76" si="87">O77+O78</f>
        <v>0</v>
      </c>
      <c r="P76" s="179">
        <f t="shared" si="87"/>
        <v>0</v>
      </c>
      <c r="Q76" s="174">
        <f t="shared" si="87"/>
        <v>3057.5</v>
      </c>
      <c r="R76" s="49">
        <f t="shared" si="87"/>
        <v>1698.2</v>
      </c>
      <c r="S76" s="206">
        <f>Q76+R76</f>
        <v>4755.7</v>
      </c>
      <c r="T76" s="174">
        <f t="shared" ref="T76:U76" si="88">T77+T78</f>
        <v>10531.7</v>
      </c>
      <c r="U76" s="71">
        <f t="shared" si="88"/>
        <v>1953.6</v>
      </c>
      <c r="V76" s="179">
        <f>T76+U76</f>
        <v>12485.300000000001</v>
      </c>
      <c r="W76" s="178"/>
      <c r="X76" s="112"/>
      <c r="Y76" s="184"/>
      <c r="Z76" s="178"/>
      <c r="AA76" s="112"/>
      <c r="AB76" s="184"/>
      <c r="AC76" s="178"/>
      <c r="AD76" s="112"/>
      <c r="AE76" s="184"/>
      <c r="AF76" s="178"/>
      <c r="AG76" s="2"/>
      <c r="AH76" s="96"/>
    </row>
    <row r="77" spans="1:35" ht="19.5" customHeight="1" x14ac:dyDescent="0.3">
      <c r="A77" s="59"/>
      <c r="B77" s="6" t="s">
        <v>35</v>
      </c>
      <c r="C77" s="13"/>
      <c r="D77" s="7"/>
      <c r="E77" s="7"/>
      <c r="F77" s="12"/>
      <c r="G77" s="7"/>
      <c r="H77" s="137"/>
      <c r="I77" s="93"/>
      <c r="J77" s="12"/>
      <c r="K77" s="44"/>
      <c r="L77" s="7"/>
      <c r="M77" s="179">
        <v>0</v>
      </c>
      <c r="N77" s="174">
        <f>10531.7-10531.7</f>
        <v>0</v>
      </c>
      <c r="O77" s="71"/>
      <c r="P77" s="179">
        <f t="shared" ref="P77:P78" si="89">N77+O77</f>
        <v>0</v>
      </c>
      <c r="Q77" s="174">
        <v>3057.5</v>
      </c>
      <c r="R77" s="49">
        <v>1698.2</v>
      </c>
      <c r="S77" s="206">
        <f t="shared" ref="S77:S78" si="90">Q77+R77</f>
        <v>4755.7</v>
      </c>
      <c r="T77" s="174">
        <v>10531.7</v>
      </c>
      <c r="U77" s="71">
        <v>1953.6</v>
      </c>
      <c r="V77" s="179">
        <f>T77+U77</f>
        <v>12485.300000000001</v>
      </c>
      <c r="W77" s="178"/>
      <c r="X77" s="112"/>
      <c r="Y77" s="184"/>
      <c r="Z77" s="178"/>
      <c r="AA77" s="112"/>
      <c r="AB77" s="184"/>
      <c r="AC77" s="178"/>
      <c r="AD77" s="112"/>
      <c r="AE77" s="184"/>
      <c r="AF77" s="178"/>
      <c r="AG77" s="2"/>
      <c r="AH77" s="96"/>
    </row>
    <row r="78" spans="1:35" ht="19.5" customHeight="1" x14ac:dyDescent="0.3">
      <c r="A78" s="59"/>
      <c r="B78" s="6" t="s">
        <v>39</v>
      </c>
      <c r="C78" s="13"/>
      <c r="D78" s="7"/>
      <c r="E78" s="7"/>
      <c r="F78" s="12"/>
      <c r="G78" s="7"/>
      <c r="H78" s="137"/>
      <c r="I78" s="93"/>
      <c r="J78" s="12"/>
      <c r="K78" s="44"/>
      <c r="L78" s="7"/>
      <c r="M78" s="179">
        <v>0</v>
      </c>
      <c r="N78" s="95"/>
      <c r="O78" s="69"/>
      <c r="P78" s="179">
        <f t="shared" si="89"/>
        <v>0</v>
      </c>
      <c r="Q78" s="95"/>
      <c r="R78" s="69"/>
      <c r="S78" s="179">
        <f t="shared" si="90"/>
        <v>0</v>
      </c>
      <c r="T78" s="95"/>
      <c r="U78" s="69"/>
      <c r="V78" s="93"/>
      <c r="W78" s="95">
        <v>293670.5</v>
      </c>
      <c r="X78" s="69"/>
      <c r="Y78" s="93">
        <f>W78+X78</f>
        <v>293670.5</v>
      </c>
      <c r="Z78" s="95">
        <f>293670.5-3651.8</f>
        <v>290018.7</v>
      </c>
      <c r="AA78" s="69"/>
      <c r="AB78" s="93">
        <f>Z78+AA78</f>
        <v>290018.7</v>
      </c>
      <c r="AC78" s="178"/>
      <c r="AD78" s="112"/>
      <c r="AE78" s="184"/>
      <c r="AF78" s="178"/>
      <c r="AG78" s="2"/>
      <c r="AH78" s="96"/>
    </row>
    <row r="79" spans="1:35" ht="141" customHeight="1" x14ac:dyDescent="0.3">
      <c r="A79" s="59">
        <v>25</v>
      </c>
      <c r="B79" s="63" t="s">
        <v>69</v>
      </c>
      <c r="C79" s="64"/>
      <c r="D79" s="65" t="s">
        <v>50</v>
      </c>
      <c r="E79" s="65">
        <v>8.2609999999999992</v>
      </c>
      <c r="F79" s="66"/>
      <c r="G79" s="65"/>
      <c r="H79" s="143"/>
      <c r="I79" s="123">
        <f>2007324+8527.6-115.1</f>
        <v>2015736.5</v>
      </c>
      <c r="J79" s="66"/>
      <c r="K79" s="67"/>
      <c r="L79" s="65"/>
      <c r="M79" s="182">
        <f t="shared" ref="M79:AH79" si="91">M80+M81</f>
        <v>0</v>
      </c>
      <c r="N79" s="176">
        <f t="shared" si="91"/>
        <v>0</v>
      </c>
      <c r="O79" s="73">
        <f t="shared" si="91"/>
        <v>0</v>
      </c>
      <c r="P79" s="182">
        <f t="shared" si="91"/>
        <v>0</v>
      </c>
      <c r="Q79" s="176">
        <f t="shared" si="91"/>
        <v>0</v>
      </c>
      <c r="R79" s="73">
        <f t="shared" si="91"/>
        <v>0</v>
      </c>
      <c r="S79" s="182">
        <f t="shared" si="91"/>
        <v>0</v>
      </c>
      <c r="T79" s="176">
        <f t="shared" si="91"/>
        <v>0</v>
      </c>
      <c r="U79" s="73">
        <f t="shared" si="91"/>
        <v>0</v>
      </c>
      <c r="V79" s="182">
        <f t="shared" si="91"/>
        <v>0</v>
      </c>
      <c r="W79" s="176">
        <f t="shared" si="91"/>
        <v>5990.8</v>
      </c>
      <c r="X79" s="176">
        <f t="shared" si="91"/>
        <v>-5990.8</v>
      </c>
      <c r="Y79" s="182">
        <f t="shared" si="91"/>
        <v>0</v>
      </c>
      <c r="Z79" s="176">
        <f t="shared" si="91"/>
        <v>9745.7000000000007</v>
      </c>
      <c r="AA79" s="176">
        <f t="shared" si="91"/>
        <v>-3208.5</v>
      </c>
      <c r="AB79" s="182">
        <f t="shared" si="91"/>
        <v>6537.2000000000007</v>
      </c>
      <c r="AC79" s="176">
        <f t="shared" si="91"/>
        <v>1000000</v>
      </c>
      <c r="AD79" s="176">
        <f t="shared" si="91"/>
        <v>-984223.1</v>
      </c>
      <c r="AE79" s="182">
        <f t="shared" si="91"/>
        <v>15776.9</v>
      </c>
      <c r="AF79" s="176">
        <f t="shared" si="91"/>
        <v>1000000</v>
      </c>
      <c r="AG79" s="176">
        <f t="shared" si="91"/>
        <v>993422.4</v>
      </c>
      <c r="AH79" s="182">
        <f t="shared" si="91"/>
        <v>1993422.4</v>
      </c>
      <c r="AI79" s="40">
        <f>I79-Y79-AB79-AE79-AH79</f>
        <v>0</v>
      </c>
    </row>
    <row r="80" spans="1:35" ht="19.5" customHeight="1" x14ac:dyDescent="0.3">
      <c r="A80" s="59"/>
      <c r="B80" s="26" t="s">
        <v>22</v>
      </c>
      <c r="C80" s="33"/>
      <c r="D80" s="28"/>
      <c r="E80" s="28"/>
      <c r="F80" s="34"/>
      <c r="G80" s="28"/>
      <c r="H80" s="138"/>
      <c r="I80" s="92"/>
      <c r="J80" s="34"/>
      <c r="K80" s="62"/>
      <c r="L80" s="28"/>
      <c r="M80" s="181"/>
      <c r="N80" s="175"/>
      <c r="O80" s="36"/>
      <c r="P80" s="181">
        <f>N80+O80</f>
        <v>0</v>
      </c>
      <c r="Q80" s="85"/>
      <c r="R80" s="35"/>
      <c r="S80" s="92">
        <f>Q80+R80</f>
        <v>0</v>
      </c>
      <c r="T80" s="85"/>
      <c r="U80" s="35"/>
      <c r="V80" s="92"/>
      <c r="W80" s="85"/>
      <c r="X80" s="35"/>
      <c r="Y80" s="92"/>
      <c r="Z80" s="85"/>
      <c r="AA80" s="35"/>
      <c r="AB80" s="92"/>
      <c r="AC80" s="85">
        <f>AC83</f>
        <v>1000000</v>
      </c>
      <c r="AD80" s="85">
        <f t="shared" ref="AD80:AE80" si="92">AD83</f>
        <v>-1000000</v>
      </c>
      <c r="AE80" s="92">
        <f t="shared" si="92"/>
        <v>0</v>
      </c>
      <c r="AF80" s="85">
        <f>AF83</f>
        <v>1000000</v>
      </c>
      <c r="AG80" s="85">
        <f t="shared" ref="AG80:AH80" si="93">AG83</f>
        <v>993422.4</v>
      </c>
      <c r="AH80" s="92">
        <f t="shared" si="93"/>
        <v>1993422.4</v>
      </c>
    </row>
    <row r="81" spans="1:36" ht="19.5" customHeight="1" x14ac:dyDescent="0.3">
      <c r="A81" s="59"/>
      <c r="B81" s="6" t="s">
        <v>23</v>
      </c>
      <c r="C81" s="13"/>
      <c r="D81" s="7"/>
      <c r="E81" s="7"/>
      <c r="F81" s="12"/>
      <c r="G81" s="7"/>
      <c r="H81" s="137"/>
      <c r="I81" s="93"/>
      <c r="J81" s="12"/>
      <c r="K81" s="44"/>
      <c r="L81" s="7"/>
      <c r="M81" s="93">
        <v>0</v>
      </c>
      <c r="N81" s="95">
        <f t="shared" ref="N81:O81" si="94">N82+N83</f>
        <v>0</v>
      </c>
      <c r="O81" s="69">
        <f t="shared" si="94"/>
        <v>0</v>
      </c>
      <c r="P81" s="93">
        <f>N81+O81</f>
        <v>0</v>
      </c>
      <c r="Q81" s="95">
        <f>Q82</f>
        <v>0</v>
      </c>
      <c r="R81" s="69">
        <f t="shared" ref="R81:S81" si="95">R82</f>
        <v>0</v>
      </c>
      <c r="S81" s="93">
        <f t="shared" si="95"/>
        <v>0</v>
      </c>
      <c r="T81" s="95"/>
      <c r="U81" s="69"/>
      <c r="V81" s="93"/>
      <c r="W81" s="95">
        <f>W82+W83</f>
        <v>5990.8</v>
      </c>
      <c r="X81" s="69">
        <f t="shared" ref="X81:Y81" si="96">X82+X83</f>
        <v>-5990.8</v>
      </c>
      <c r="Y81" s="93">
        <f t="shared" si="96"/>
        <v>0</v>
      </c>
      <c r="Z81" s="95">
        <f>Z82+Z83</f>
        <v>9745.7000000000007</v>
      </c>
      <c r="AA81" s="95">
        <f t="shared" ref="AA81:AB81" si="97">AA82+AA83</f>
        <v>-3208.5</v>
      </c>
      <c r="AB81" s="93">
        <f t="shared" si="97"/>
        <v>6537.2000000000007</v>
      </c>
      <c r="AC81" s="95">
        <f>AC82</f>
        <v>0</v>
      </c>
      <c r="AD81" s="95">
        <f t="shared" ref="AD81:AF81" si="98">AD82</f>
        <v>15776.9</v>
      </c>
      <c r="AE81" s="93">
        <f t="shared" si="98"/>
        <v>15776.9</v>
      </c>
      <c r="AF81" s="95">
        <f t="shared" si="98"/>
        <v>0</v>
      </c>
      <c r="AG81" s="2"/>
      <c r="AH81" s="96"/>
    </row>
    <row r="82" spans="1:36" ht="19.5" customHeight="1" x14ac:dyDescent="0.3">
      <c r="A82" s="59"/>
      <c r="B82" s="6" t="s">
        <v>35</v>
      </c>
      <c r="C82" s="13"/>
      <c r="D82" s="7"/>
      <c r="E82" s="7"/>
      <c r="F82" s="12"/>
      <c r="G82" s="7"/>
      <c r="H82" s="137"/>
      <c r="I82" s="105"/>
      <c r="J82" s="12"/>
      <c r="K82" s="44"/>
      <c r="L82" s="7"/>
      <c r="M82" s="93">
        <v>0</v>
      </c>
      <c r="N82" s="174">
        <f>3662+2328.8-5990.8</f>
        <v>0</v>
      </c>
      <c r="O82" s="71"/>
      <c r="P82" s="93">
        <f t="shared" ref="P82:P83" si="99">N82+O82</f>
        <v>0</v>
      </c>
      <c r="Q82" s="95">
        <f>9781.2-35.5-9745.7</f>
        <v>0</v>
      </c>
      <c r="R82" s="69"/>
      <c r="S82" s="93">
        <f t="shared" ref="S82:S83" si="100">Q82+R82</f>
        <v>0</v>
      </c>
      <c r="T82" s="190"/>
      <c r="U82" s="50"/>
      <c r="V82" s="204"/>
      <c r="W82" s="201">
        <v>5990.8</v>
      </c>
      <c r="X82" s="163">
        <v>-5990.8</v>
      </c>
      <c r="Y82" s="219">
        <f>W82+X82</f>
        <v>0</v>
      </c>
      <c r="Z82" s="213">
        <v>9745.7000000000007</v>
      </c>
      <c r="AA82" s="164">
        <v>-3208.5</v>
      </c>
      <c r="AB82" s="225">
        <f>Z82+AA82</f>
        <v>6537.2000000000007</v>
      </c>
      <c r="AC82" s="222"/>
      <c r="AD82" s="162">
        <v>15776.9</v>
      </c>
      <c r="AE82" s="230">
        <f>AC82+AD82</f>
        <v>15776.9</v>
      </c>
      <c r="AF82" s="222"/>
      <c r="AG82" s="2"/>
      <c r="AH82" s="96"/>
    </row>
    <row r="83" spans="1:36" ht="19.5" customHeight="1" x14ac:dyDescent="0.3">
      <c r="A83" s="59"/>
      <c r="B83" s="6" t="s">
        <v>39</v>
      </c>
      <c r="C83" s="13"/>
      <c r="D83" s="7"/>
      <c r="E83" s="7"/>
      <c r="F83" s="12"/>
      <c r="G83" s="7"/>
      <c r="H83" s="137"/>
      <c r="I83" s="105"/>
      <c r="J83" s="12"/>
      <c r="K83" s="44"/>
      <c r="L83" s="7"/>
      <c r="M83" s="93">
        <v>0</v>
      </c>
      <c r="N83" s="174"/>
      <c r="O83" s="71"/>
      <c r="P83" s="93">
        <f t="shared" si="99"/>
        <v>0</v>
      </c>
      <c r="Q83" s="95"/>
      <c r="R83" s="69"/>
      <c r="S83" s="93">
        <f t="shared" si="100"/>
        <v>0</v>
      </c>
      <c r="T83" s="95"/>
      <c r="U83" s="69"/>
      <c r="V83" s="93"/>
      <c r="W83" s="84"/>
      <c r="X83" s="48"/>
      <c r="Y83" s="91"/>
      <c r="Z83" s="84"/>
      <c r="AA83" s="48"/>
      <c r="AB83" s="91"/>
      <c r="AC83" s="84">
        <v>1000000</v>
      </c>
      <c r="AD83" s="48">
        <v>-1000000</v>
      </c>
      <c r="AE83" s="91">
        <f>AC83+AD83</f>
        <v>0</v>
      </c>
      <c r="AF83" s="84">
        <v>1000000</v>
      </c>
      <c r="AG83" s="164">
        <v>993422.4</v>
      </c>
      <c r="AH83" s="225">
        <f>AF83+AG83</f>
        <v>1993422.4</v>
      </c>
    </row>
    <row r="84" spans="1:36" ht="143.25" customHeight="1" x14ac:dyDescent="0.3">
      <c r="A84" s="59">
        <v>26</v>
      </c>
      <c r="B84" s="63" t="s">
        <v>70</v>
      </c>
      <c r="C84" s="64"/>
      <c r="D84" s="65" t="s">
        <v>50</v>
      </c>
      <c r="E84" s="65">
        <v>7.5890000000000004</v>
      </c>
      <c r="F84" s="66"/>
      <c r="G84" s="65"/>
      <c r="H84" s="143"/>
      <c r="I84" s="123">
        <v>1019376.3</v>
      </c>
      <c r="J84" s="100"/>
      <c r="K84" s="72"/>
      <c r="L84" s="68"/>
      <c r="M84" s="182">
        <f t="shared" ref="M84" si="101">M85+M86</f>
        <v>0</v>
      </c>
      <c r="N84" s="176">
        <f>N85+N86</f>
        <v>0</v>
      </c>
      <c r="O84" s="73">
        <f t="shared" ref="O84:AH84" si="102">O85+O86</f>
        <v>0</v>
      </c>
      <c r="P84" s="182">
        <f t="shared" si="102"/>
        <v>0</v>
      </c>
      <c r="Q84" s="176">
        <f t="shared" si="102"/>
        <v>0</v>
      </c>
      <c r="R84" s="73">
        <f t="shared" si="102"/>
        <v>0</v>
      </c>
      <c r="S84" s="182">
        <f>Q84+R84</f>
        <v>0</v>
      </c>
      <c r="T84" s="176">
        <f t="shared" si="102"/>
        <v>0</v>
      </c>
      <c r="U84" s="73">
        <f t="shared" si="102"/>
        <v>0</v>
      </c>
      <c r="V84" s="182">
        <f t="shared" si="102"/>
        <v>0</v>
      </c>
      <c r="W84" s="176">
        <f t="shared" si="102"/>
        <v>5815.2</v>
      </c>
      <c r="X84" s="176">
        <f t="shared" si="102"/>
        <v>-5815.2</v>
      </c>
      <c r="Y84" s="182">
        <f t="shared" si="102"/>
        <v>0</v>
      </c>
      <c r="Z84" s="176">
        <f t="shared" si="102"/>
        <v>13561.1</v>
      </c>
      <c r="AA84" s="176">
        <f t="shared" si="102"/>
        <v>-7045.5</v>
      </c>
      <c r="AB84" s="182">
        <f t="shared" si="102"/>
        <v>6515.6</v>
      </c>
      <c r="AC84" s="176">
        <f t="shared" si="102"/>
        <v>500000</v>
      </c>
      <c r="AD84" s="176">
        <f t="shared" si="102"/>
        <v>-474813.6</v>
      </c>
      <c r="AE84" s="182">
        <f t="shared" si="102"/>
        <v>25186.400000000001</v>
      </c>
      <c r="AF84" s="176">
        <f t="shared" si="102"/>
        <v>500000</v>
      </c>
      <c r="AG84" s="176">
        <f t="shared" si="102"/>
        <v>487674.3</v>
      </c>
      <c r="AH84" s="182">
        <f t="shared" si="102"/>
        <v>987674.3</v>
      </c>
      <c r="AI84" s="238">
        <f>I84-Y84-AB84-AE84-AH84</f>
        <v>0</v>
      </c>
    </row>
    <row r="85" spans="1:36" ht="21" customHeight="1" x14ac:dyDescent="0.3">
      <c r="A85" s="59"/>
      <c r="B85" s="26" t="s">
        <v>22</v>
      </c>
      <c r="C85" s="33"/>
      <c r="D85" s="28"/>
      <c r="E85" s="28"/>
      <c r="F85" s="34"/>
      <c r="G85" s="28"/>
      <c r="H85" s="138"/>
      <c r="I85" s="92"/>
      <c r="J85" s="85"/>
      <c r="K85" s="74"/>
      <c r="L85" s="35"/>
      <c r="M85" s="181"/>
      <c r="N85" s="175"/>
      <c r="O85" s="36"/>
      <c r="P85" s="181"/>
      <c r="Q85" s="85"/>
      <c r="R85" s="35"/>
      <c r="S85" s="92">
        <f>Q85+R85</f>
        <v>0</v>
      </c>
      <c r="T85" s="189"/>
      <c r="U85" s="37"/>
      <c r="V85" s="203"/>
      <c r="W85" s="198"/>
      <c r="X85" s="113"/>
      <c r="Y85" s="216"/>
      <c r="Z85" s="198"/>
      <c r="AA85" s="113"/>
      <c r="AB85" s="216"/>
      <c r="AC85" s="198">
        <f>AC88</f>
        <v>500000</v>
      </c>
      <c r="AD85" s="198">
        <f t="shared" ref="AD85:AE85" si="103">AD88</f>
        <v>-500000</v>
      </c>
      <c r="AE85" s="216">
        <f t="shared" si="103"/>
        <v>0</v>
      </c>
      <c r="AF85" s="198">
        <f>AF88</f>
        <v>500000</v>
      </c>
      <c r="AG85" s="198">
        <f t="shared" ref="AG85:AH85" si="104">AG88</f>
        <v>487674.3</v>
      </c>
      <c r="AH85" s="216">
        <f t="shared" si="104"/>
        <v>987674.3</v>
      </c>
    </row>
    <row r="86" spans="1:36" ht="21" customHeight="1" x14ac:dyDescent="0.3">
      <c r="A86" s="59"/>
      <c r="B86" s="6" t="s">
        <v>23</v>
      </c>
      <c r="C86" s="13"/>
      <c r="D86" s="7"/>
      <c r="E86" s="7"/>
      <c r="F86" s="12"/>
      <c r="G86" s="7"/>
      <c r="H86" s="137"/>
      <c r="I86" s="93"/>
      <c r="J86" s="95"/>
      <c r="K86" s="70"/>
      <c r="L86" s="69"/>
      <c r="M86" s="93">
        <f t="shared" ref="M86" si="105">M87+M88</f>
        <v>0</v>
      </c>
      <c r="N86" s="95">
        <f>N87+N88</f>
        <v>0</v>
      </c>
      <c r="O86" s="69">
        <f t="shared" ref="O86:P86" si="106">O87+O88</f>
        <v>0</v>
      </c>
      <c r="P86" s="93">
        <f t="shared" si="106"/>
        <v>0</v>
      </c>
      <c r="Q86" s="95">
        <f>Q87</f>
        <v>0</v>
      </c>
      <c r="R86" s="69">
        <f t="shared" ref="R86:S86" si="107">R87</f>
        <v>0</v>
      </c>
      <c r="S86" s="93">
        <f t="shared" si="107"/>
        <v>0</v>
      </c>
      <c r="T86" s="191"/>
      <c r="U86" s="75"/>
      <c r="V86" s="205"/>
      <c r="W86" s="95">
        <f>W87+W88</f>
        <v>5815.2</v>
      </c>
      <c r="X86" s="95">
        <f t="shared" ref="X86:Y86" si="108">X87+X88</f>
        <v>-5815.2</v>
      </c>
      <c r="Y86" s="93">
        <f t="shared" si="108"/>
        <v>0</v>
      </c>
      <c r="Z86" s="95">
        <f>Z87</f>
        <v>13561.1</v>
      </c>
      <c r="AA86" s="95">
        <f t="shared" ref="AA86:AB86" si="109">AA87</f>
        <v>-7045.5</v>
      </c>
      <c r="AB86" s="93">
        <f t="shared" si="109"/>
        <v>6515.6</v>
      </c>
      <c r="AC86" s="178">
        <f>AC87</f>
        <v>0</v>
      </c>
      <c r="AD86" s="178">
        <f t="shared" ref="AD86:AE86" si="110">AD87</f>
        <v>25186.400000000001</v>
      </c>
      <c r="AE86" s="184">
        <f t="shared" si="110"/>
        <v>25186.400000000001</v>
      </c>
      <c r="AF86" s="178"/>
      <c r="AG86" s="2"/>
      <c r="AH86" s="96"/>
    </row>
    <row r="87" spans="1:36" ht="19.5" customHeight="1" x14ac:dyDescent="0.3">
      <c r="A87" s="59"/>
      <c r="B87" s="6" t="s">
        <v>35</v>
      </c>
      <c r="C87" s="13"/>
      <c r="D87" s="7"/>
      <c r="E87" s="7"/>
      <c r="F87" s="12"/>
      <c r="G87" s="7"/>
      <c r="H87" s="137"/>
      <c r="I87" s="93"/>
      <c r="J87" s="95"/>
      <c r="K87" s="70"/>
      <c r="L87" s="69"/>
      <c r="M87" s="93">
        <v>0</v>
      </c>
      <c r="N87" s="95">
        <f>3581.5+2233.7-5815.2</f>
        <v>0</v>
      </c>
      <c r="O87" s="69"/>
      <c r="P87" s="93">
        <f t="shared" ref="P87:P88" si="111">N87+O87</f>
        <v>0</v>
      </c>
      <c r="Q87" s="95">
        <f>13496.6+64.5-13561.1</f>
        <v>0</v>
      </c>
      <c r="R87" s="69"/>
      <c r="S87" s="93">
        <f t="shared" ref="S87:S89" si="112">Q87+R87</f>
        <v>0</v>
      </c>
      <c r="T87" s="191"/>
      <c r="U87" s="75"/>
      <c r="V87" s="205"/>
      <c r="W87" s="95">
        <f>3581.5+2233.7</f>
        <v>5815.2</v>
      </c>
      <c r="X87" s="69">
        <v>-5815.2</v>
      </c>
      <c r="Y87" s="93">
        <f>W87+X87</f>
        <v>0</v>
      </c>
      <c r="Z87" s="95">
        <f>13496.6+64.5</f>
        <v>13561.1</v>
      </c>
      <c r="AA87" s="69">
        <v>-7045.5</v>
      </c>
      <c r="AB87" s="93">
        <f>Z87+AA87</f>
        <v>6515.6</v>
      </c>
      <c r="AC87" s="178"/>
      <c r="AD87" s="112">
        <v>25186.400000000001</v>
      </c>
      <c r="AE87" s="184">
        <f>AC87+AD87</f>
        <v>25186.400000000001</v>
      </c>
      <c r="AF87" s="178"/>
      <c r="AG87" s="2"/>
      <c r="AH87" s="96"/>
    </row>
    <row r="88" spans="1:36" ht="19.5" customHeight="1" x14ac:dyDescent="0.3">
      <c r="A88" s="59"/>
      <c r="B88" s="6" t="s">
        <v>39</v>
      </c>
      <c r="C88" s="13"/>
      <c r="D88" s="7"/>
      <c r="E88" s="7"/>
      <c r="F88" s="12"/>
      <c r="G88" s="7"/>
      <c r="H88" s="137"/>
      <c r="I88" s="93"/>
      <c r="J88" s="95"/>
      <c r="K88" s="70"/>
      <c r="L88" s="69"/>
      <c r="M88" s="93"/>
      <c r="N88" s="95"/>
      <c r="O88" s="69"/>
      <c r="P88" s="93">
        <f t="shared" si="111"/>
        <v>0</v>
      </c>
      <c r="Q88" s="95"/>
      <c r="R88" s="69"/>
      <c r="S88" s="93">
        <f t="shared" si="112"/>
        <v>0</v>
      </c>
      <c r="T88" s="191"/>
      <c r="U88" s="75"/>
      <c r="V88" s="205"/>
      <c r="W88" s="178"/>
      <c r="X88" s="112"/>
      <c r="Y88" s="184"/>
      <c r="Z88" s="178"/>
      <c r="AA88" s="112"/>
      <c r="AB88" s="184"/>
      <c r="AC88" s="178">
        <v>500000</v>
      </c>
      <c r="AD88" s="112">
        <v>-500000</v>
      </c>
      <c r="AE88" s="184">
        <f>AC88+AD88</f>
        <v>0</v>
      </c>
      <c r="AF88" s="178">
        <v>500000</v>
      </c>
      <c r="AG88" s="2">
        <v>487674.3</v>
      </c>
      <c r="AH88" s="184">
        <f>AF88+AG88</f>
        <v>987674.3</v>
      </c>
    </row>
    <row r="89" spans="1:36" ht="135.75" customHeight="1" x14ac:dyDescent="0.3">
      <c r="A89" s="339"/>
      <c r="B89" s="6" t="s">
        <v>117</v>
      </c>
      <c r="C89" s="8" t="s">
        <v>47</v>
      </c>
      <c r="D89" s="7" t="s">
        <v>50</v>
      </c>
      <c r="E89" s="7">
        <v>21.492999999999999</v>
      </c>
      <c r="F89" s="7"/>
      <c r="G89" s="7"/>
      <c r="H89" s="38">
        <v>117560.10248</v>
      </c>
      <c r="I89" s="89">
        <f>17414460+202+1380.002</f>
        <v>17416042.002</v>
      </c>
      <c r="J89" s="12"/>
      <c r="K89" s="7"/>
      <c r="L89" s="9"/>
      <c r="M89" s="91">
        <f t="shared" ref="M89" si="113">M90+M91</f>
        <v>0</v>
      </c>
      <c r="N89" s="174">
        <f>N90+N91</f>
        <v>0</v>
      </c>
      <c r="O89" s="71">
        <f t="shared" ref="O89:AH89" si="114">O90+O91</f>
        <v>0</v>
      </c>
      <c r="P89" s="179">
        <f t="shared" si="114"/>
        <v>0</v>
      </c>
      <c r="Q89" s="174">
        <f t="shared" si="114"/>
        <v>0</v>
      </c>
      <c r="R89" s="71"/>
      <c r="S89" s="93">
        <f t="shared" si="112"/>
        <v>0</v>
      </c>
      <c r="T89" s="174">
        <f t="shared" si="114"/>
        <v>0</v>
      </c>
      <c r="U89" s="71"/>
      <c r="V89" s="179"/>
      <c r="W89" s="174">
        <f t="shared" si="114"/>
        <v>4001380</v>
      </c>
      <c r="X89" s="174">
        <f t="shared" si="114"/>
        <v>0</v>
      </c>
      <c r="Y89" s="179">
        <f t="shared" si="114"/>
        <v>4001380</v>
      </c>
      <c r="Z89" s="174">
        <f t="shared" si="114"/>
        <v>4000000</v>
      </c>
      <c r="AA89" s="174">
        <f t="shared" si="114"/>
        <v>0</v>
      </c>
      <c r="AB89" s="179">
        <f t="shared" si="114"/>
        <v>4000000</v>
      </c>
      <c r="AC89" s="174">
        <f t="shared" si="114"/>
        <v>3600000</v>
      </c>
      <c r="AD89" s="174">
        <f t="shared" si="114"/>
        <v>0</v>
      </c>
      <c r="AE89" s="179">
        <f t="shared" si="114"/>
        <v>3600000</v>
      </c>
      <c r="AF89" s="226">
        <f t="shared" si="114"/>
        <v>5697099.8999999994</v>
      </c>
      <c r="AG89" s="226">
        <f t="shared" si="114"/>
        <v>0</v>
      </c>
      <c r="AH89" s="286">
        <f t="shared" si="114"/>
        <v>5697099.8999999994</v>
      </c>
      <c r="AI89" s="263">
        <f>I89-M89-P89-S89-V89-Y89-AB89-AE89-AH89</f>
        <v>117562.10200000089</v>
      </c>
      <c r="AJ89" s="300" t="s">
        <v>96</v>
      </c>
    </row>
    <row r="90" spans="1:36" ht="27" customHeight="1" x14ac:dyDescent="0.3">
      <c r="A90" s="339"/>
      <c r="B90" s="26" t="s">
        <v>22</v>
      </c>
      <c r="C90" s="8"/>
      <c r="D90" s="28"/>
      <c r="E90" s="28"/>
      <c r="F90" s="28"/>
      <c r="G90" s="28"/>
      <c r="H90" s="138"/>
      <c r="I90" s="90"/>
      <c r="J90" s="34"/>
      <c r="K90" s="28"/>
      <c r="L90" s="19"/>
      <c r="M90" s="181"/>
      <c r="N90" s="175"/>
      <c r="O90" s="36"/>
      <c r="P90" s="181">
        <f>N90+O90</f>
        <v>0</v>
      </c>
      <c r="Q90" s="175"/>
      <c r="R90" s="36"/>
      <c r="S90" s="181">
        <f>Q90+R90</f>
        <v>0</v>
      </c>
      <c r="T90" s="175"/>
      <c r="U90" s="36"/>
      <c r="V90" s="181"/>
      <c r="W90" s="189">
        <f>W93</f>
        <v>4000000</v>
      </c>
      <c r="X90" s="189">
        <f t="shared" ref="X90:Y90" si="115">X93</f>
        <v>0</v>
      </c>
      <c r="Y90" s="203">
        <f t="shared" si="115"/>
        <v>4000000</v>
      </c>
      <c r="Z90" s="189">
        <f>Z93</f>
        <v>4000000</v>
      </c>
      <c r="AA90" s="189">
        <f t="shared" ref="AA90:AB90" si="116">AA93</f>
        <v>0</v>
      </c>
      <c r="AB90" s="203">
        <f t="shared" si="116"/>
        <v>4000000</v>
      </c>
      <c r="AC90" s="189">
        <f>AC93</f>
        <v>3600000</v>
      </c>
      <c r="AD90" s="189">
        <f t="shared" ref="AD90:AE90" si="117">AD93</f>
        <v>0</v>
      </c>
      <c r="AE90" s="203">
        <f t="shared" si="117"/>
        <v>3600000</v>
      </c>
      <c r="AF90" s="227">
        <f>AF93</f>
        <v>5697099.8999999994</v>
      </c>
      <c r="AG90" s="227">
        <f>AG93</f>
        <v>0</v>
      </c>
      <c r="AH90" s="287">
        <f>AH93</f>
        <v>5697099.8999999994</v>
      </c>
    </row>
    <row r="91" spans="1:36" ht="27" customHeight="1" x14ac:dyDescent="0.3">
      <c r="A91" s="339"/>
      <c r="B91" s="6" t="s">
        <v>23</v>
      </c>
      <c r="C91" s="8"/>
      <c r="D91" s="7"/>
      <c r="E91" s="7"/>
      <c r="F91" s="7"/>
      <c r="G91" s="7"/>
      <c r="H91" s="137"/>
      <c r="I91" s="89"/>
      <c r="J91" s="12"/>
      <c r="K91" s="7"/>
      <c r="L91" s="9"/>
      <c r="M91" s="93">
        <v>0</v>
      </c>
      <c r="N91" s="174"/>
      <c r="O91" s="71"/>
      <c r="P91" s="179"/>
      <c r="Q91" s="174"/>
      <c r="R91" s="71"/>
      <c r="S91" s="179">
        <f>Q91+R91</f>
        <v>0</v>
      </c>
      <c r="T91" s="174"/>
      <c r="U91" s="71"/>
      <c r="V91" s="179"/>
      <c r="W91" s="178">
        <f>W92</f>
        <v>1380</v>
      </c>
      <c r="X91" s="178">
        <f t="shared" ref="X91:Y91" si="118">X92</f>
        <v>0</v>
      </c>
      <c r="Y91" s="184">
        <f t="shared" si="118"/>
        <v>1380</v>
      </c>
      <c r="Z91" s="178"/>
      <c r="AA91" s="112"/>
      <c r="AB91" s="184"/>
      <c r="AC91" s="178"/>
      <c r="AD91" s="112"/>
      <c r="AE91" s="184"/>
      <c r="AF91" s="178"/>
      <c r="AG91" s="2"/>
      <c r="AH91" s="96"/>
    </row>
    <row r="92" spans="1:36" ht="27" customHeight="1" x14ac:dyDescent="0.3">
      <c r="A92" s="339"/>
      <c r="B92" s="6" t="s">
        <v>35</v>
      </c>
      <c r="C92" s="8"/>
      <c r="D92" s="7"/>
      <c r="E92" s="7"/>
      <c r="F92" s="7"/>
      <c r="G92" s="7"/>
      <c r="H92" s="137"/>
      <c r="I92" s="89"/>
      <c r="J92" s="12"/>
      <c r="K92" s="7"/>
      <c r="L92" s="9"/>
      <c r="M92" s="93">
        <v>0</v>
      </c>
      <c r="N92" s="174"/>
      <c r="O92" s="71"/>
      <c r="P92" s="179"/>
      <c r="Q92" s="174"/>
      <c r="R92" s="71"/>
      <c r="S92" s="179">
        <f t="shared" ref="S92:S96" si="119">Q92+R92</f>
        <v>0</v>
      </c>
      <c r="T92" s="174"/>
      <c r="U92" s="71"/>
      <c r="V92" s="179"/>
      <c r="W92" s="178">
        <v>1380</v>
      </c>
      <c r="X92" s="112"/>
      <c r="Y92" s="184">
        <f>W92+X92</f>
        <v>1380</v>
      </c>
      <c r="Z92" s="178"/>
      <c r="AA92" s="112"/>
      <c r="AB92" s="184"/>
      <c r="AC92" s="178"/>
      <c r="AD92" s="112"/>
      <c r="AE92" s="184"/>
      <c r="AF92" s="178"/>
      <c r="AG92" s="2"/>
      <c r="AH92" s="96"/>
    </row>
    <row r="93" spans="1:36" ht="27" customHeight="1" x14ac:dyDescent="0.3">
      <c r="A93" s="339"/>
      <c r="B93" s="6" t="s">
        <v>44</v>
      </c>
      <c r="C93" s="8"/>
      <c r="D93" s="7"/>
      <c r="E93" s="7"/>
      <c r="F93" s="7"/>
      <c r="G93" s="7"/>
      <c r="H93" s="137"/>
      <c r="I93" s="89"/>
      <c r="J93" s="12"/>
      <c r="K93" s="7"/>
      <c r="L93" s="9"/>
      <c r="M93" s="179"/>
      <c r="N93" s="174"/>
      <c r="O93" s="71"/>
      <c r="P93" s="179">
        <f>N93+O93</f>
        <v>0</v>
      </c>
      <c r="Q93" s="187"/>
      <c r="R93" s="49"/>
      <c r="S93" s="179">
        <f t="shared" si="119"/>
        <v>0</v>
      </c>
      <c r="T93" s="187"/>
      <c r="U93" s="49"/>
      <c r="V93" s="206"/>
      <c r="W93" s="190">
        <v>4000000</v>
      </c>
      <c r="X93" s="50"/>
      <c r="Y93" s="204">
        <f>W93+X93</f>
        <v>4000000</v>
      </c>
      <c r="Z93" s="190">
        <v>4000000</v>
      </c>
      <c r="AA93" s="50"/>
      <c r="AB93" s="204">
        <f>Z93+AA93</f>
        <v>4000000</v>
      </c>
      <c r="AC93" s="190">
        <v>3600000</v>
      </c>
      <c r="AD93" s="50"/>
      <c r="AE93" s="204">
        <f>AC93+AD93</f>
        <v>3600000</v>
      </c>
      <c r="AF93" s="228">
        <f>3679205.9+2001000+135254.1-1000-117362.012+1.912</f>
        <v>5697099.8999999994</v>
      </c>
      <c r="AG93" s="2"/>
      <c r="AH93" s="262">
        <f>AF93+AG93</f>
        <v>5697099.8999999994</v>
      </c>
    </row>
    <row r="94" spans="1:36" ht="92.25" customHeight="1" x14ac:dyDescent="0.3">
      <c r="A94" s="59"/>
      <c r="B94" s="124" t="s">
        <v>57</v>
      </c>
      <c r="C94" s="8"/>
      <c r="D94" s="7">
        <v>2022</v>
      </c>
      <c r="E94" s="7">
        <v>6.46</v>
      </c>
      <c r="F94" s="12"/>
      <c r="G94" s="7"/>
      <c r="H94" s="137"/>
      <c r="I94" s="125">
        <v>83960</v>
      </c>
      <c r="J94" s="126"/>
      <c r="K94" s="45"/>
      <c r="L94" s="127"/>
      <c r="M94" s="183">
        <f t="shared" ref="M94:V94" si="120">M95+M96</f>
        <v>1477.7</v>
      </c>
      <c r="N94" s="177">
        <f t="shared" si="120"/>
        <v>0</v>
      </c>
      <c r="O94" s="129">
        <f t="shared" si="120"/>
        <v>0</v>
      </c>
      <c r="P94" s="183">
        <f t="shared" si="120"/>
        <v>0</v>
      </c>
      <c r="Q94" s="177">
        <f t="shared" si="120"/>
        <v>0</v>
      </c>
      <c r="R94" s="129"/>
      <c r="S94" s="183">
        <f t="shared" si="119"/>
        <v>0</v>
      </c>
      <c r="T94" s="177">
        <f t="shared" si="120"/>
        <v>79960</v>
      </c>
      <c r="U94" s="129">
        <f t="shared" si="120"/>
        <v>2522.3000000000002</v>
      </c>
      <c r="V94" s="183">
        <f t="shared" si="120"/>
        <v>82482.3</v>
      </c>
      <c r="W94" s="202"/>
      <c r="X94" s="130"/>
      <c r="Y94" s="220"/>
      <c r="Z94" s="178"/>
      <c r="AA94" s="112"/>
      <c r="AB94" s="184"/>
      <c r="AC94" s="178"/>
      <c r="AD94" s="112"/>
      <c r="AE94" s="184"/>
      <c r="AF94" s="178"/>
      <c r="AG94" s="2"/>
      <c r="AH94" s="96"/>
      <c r="AI94" s="264">
        <f>I94-M94-P94-S94-V94-Y94-AB94-AE94-AH94</f>
        <v>0</v>
      </c>
    </row>
    <row r="95" spans="1:36" ht="21" customHeight="1" x14ac:dyDescent="0.3">
      <c r="A95" s="59"/>
      <c r="B95" s="6" t="s">
        <v>35</v>
      </c>
      <c r="C95" s="8"/>
      <c r="D95" s="7"/>
      <c r="E95" s="7"/>
      <c r="F95" s="12"/>
      <c r="G95" s="7"/>
      <c r="H95" s="137"/>
      <c r="I95" s="125"/>
      <c r="J95" s="126"/>
      <c r="K95" s="45"/>
      <c r="L95" s="127"/>
      <c r="M95" s="183">
        <v>1477.7</v>
      </c>
      <c r="N95" s="177"/>
      <c r="O95" s="129"/>
      <c r="P95" s="183"/>
      <c r="Q95" s="188"/>
      <c r="R95" s="128"/>
      <c r="S95" s="183">
        <f t="shared" si="119"/>
        <v>0</v>
      </c>
      <c r="T95" s="192"/>
      <c r="U95" s="131"/>
      <c r="V95" s="207"/>
      <c r="W95" s="202"/>
      <c r="X95" s="130"/>
      <c r="Y95" s="220"/>
      <c r="Z95" s="178"/>
      <c r="AA95" s="112"/>
      <c r="AB95" s="184"/>
      <c r="AC95" s="178"/>
      <c r="AD95" s="112"/>
      <c r="AE95" s="184"/>
      <c r="AF95" s="178"/>
      <c r="AG95" s="2"/>
      <c r="AH95" s="96"/>
    </row>
    <row r="96" spans="1:36" ht="21" customHeight="1" thickBot="1" x14ac:dyDescent="0.35">
      <c r="A96" s="59"/>
      <c r="B96" s="6" t="s">
        <v>36</v>
      </c>
      <c r="C96" s="8"/>
      <c r="D96" s="7"/>
      <c r="E96" s="7"/>
      <c r="F96" s="12"/>
      <c r="G96" s="7"/>
      <c r="H96" s="137"/>
      <c r="I96" s="125"/>
      <c r="J96" s="126"/>
      <c r="K96" s="45"/>
      <c r="L96" s="127"/>
      <c r="M96" s="183"/>
      <c r="N96" s="177"/>
      <c r="O96" s="129"/>
      <c r="P96" s="183">
        <f>N96+O96</f>
        <v>0</v>
      </c>
      <c r="Q96" s="188"/>
      <c r="R96" s="128"/>
      <c r="S96" s="183">
        <f t="shared" si="119"/>
        <v>0</v>
      </c>
      <c r="T96" s="193">
        <v>79960</v>
      </c>
      <c r="U96" s="159">
        <v>2522.3000000000002</v>
      </c>
      <c r="V96" s="208">
        <f>T96+U96</f>
        <v>82482.3</v>
      </c>
      <c r="W96" s="202"/>
      <c r="X96" s="130"/>
      <c r="Y96" s="220"/>
      <c r="Z96" s="178"/>
      <c r="AA96" s="112"/>
      <c r="AB96" s="184"/>
      <c r="AC96" s="178"/>
      <c r="AD96" s="112"/>
      <c r="AE96" s="184"/>
      <c r="AF96" s="178"/>
      <c r="AG96" s="2"/>
      <c r="AH96" s="96"/>
    </row>
    <row r="97" spans="1:34" ht="60.75" customHeight="1" thickBot="1" x14ac:dyDescent="0.35">
      <c r="A97" s="59"/>
      <c r="B97" s="316" t="s">
        <v>116</v>
      </c>
      <c r="C97" s="8"/>
      <c r="D97" s="7">
        <v>2020</v>
      </c>
      <c r="E97" s="7"/>
      <c r="F97" s="12"/>
      <c r="G97" s="7" t="s">
        <v>64</v>
      </c>
      <c r="H97" s="137"/>
      <c r="I97" s="125">
        <v>9645.4</v>
      </c>
      <c r="J97" s="126"/>
      <c r="K97" s="45"/>
      <c r="L97" s="127"/>
      <c r="M97" s="183"/>
      <c r="N97" s="177">
        <f>N98+N99</f>
        <v>9645.4</v>
      </c>
      <c r="O97" s="129">
        <f>O98+O99</f>
        <v>0</v>
      </c>
      <c r="P97" s="183">
        <f>N97+O97</f>
        <v>9645.4</v>
      </c>
      <c r="Q97" s="188"/>
      <c r="R97" s="128"/>
      <c r="S97" s="183"/>
      <c r="T97" s="192"/>
      <c r="U97" s="131"/>
      <c r="V97" s="207"/>
      <c r="W97" s="202"/>
      <c r="X97" s="130"/>
      <c r="Y97" s="220"/>
      <c r="Z97" s="178"/>
      <c r="AA97" s="112"/>
      <c r="AB97" s="184"/>
      <c r="AC97" s="178"/>
      <c r="AD97" s="112"/>
      <c r="AE97" s="184"/>
      <c r="AF97" s="178"/>
      <c r="AG97" s="2"/>
      <c r="AH97" s="96"/>
    </row>
    <row r="98" spans="1:34" ht="21" customHeight="1" x14ac:dyDescent="0.3">
      <c r="A98" s="59"/>
      <c r="B98" s="6" t="s">
        <v>35</v>
      </c>
      <c r="C98" s="8"/>
      <c r="D98" s="7"/>
      <c r="E98" s="7"/>
      <c r="F98" s="12"/>
      <c r="G98" s="7"/>
      <c r="H98" s="137"/>
      <c r="I98" s="125"/>
      <c r="J98" s="126"/>
      <c r="K98" s="45"/>
      <c r="L98" s="127"/>
      <c r="M98" s="183"/>
      <c r="N98" s="177">
        <v>1645.4</v>
      </c>
      <c r="O98" s="129"/>
      <c r="P98" s="183">
        <f t="shared" ref="P98:P99" si="121">N98+O98</f>
        <v>1645.4</v>
      </c>
      <c r="Q98" s="188"/>
      <c r="R98" s="128"/>
      <c r="S98" s="183"/>
      <c r="T98" s="192"/>
      <c r="U98" s="131"/>
      <c r="V98" s="207"/>
      <c r="W98" s="202"/>
      <c r="X98" s="130"/>
      <c r="Y98" s="220"/>
      <c r="Z98" s="178"/>
      <c r="AA98" s="112"/>
      <c r="AB98" s="184"/>
      <c r="AC98" s="178"/>
      <c r="AD98" s="112"/>
      <c r="AE98" s="184"/>
      <c r="AF98" s="178"/>
      <c r="AG98" s="2"/>
      <c r="AH98" s="96"/>
    </row>
    <row r="99" spans="1:34" ht="21" customHeight="1" x14ac:dyDescent="0.3">
      <c r="A99" s="59"/>
      <c r="B99" s="6" t="s">
        <v>36</v>
      </c>
      <c r="C99" s="8"/>
      <c r="D99" s="7"/>
      <c r="E99" s="7"/>
      <c r="F99" s="12"/>
      <c r="G99" s="7"/>
      <c r="H99" s="137"/>
      <c r="I99" s="125"/>
      <c r="J99" s="126"/>
      <c r="K99" s="45"/>
      <c r="L99" s="127"/>
      <c r="M99" s="183"/>
      <c r="N99" s="177">
        <v>8000</v>
      </c>
      <c r="O99" s="129"/>
      <c r="P99" s="183">
        <f t="shared" si="121"/>
        <v>8000</v>
      </c>
      <c r="Q99" s="188"/>
      <c r="R99" s="128"/>
      <c r="S99" s="183"/>
      <c r="T99" s="192"/>
      <c r="U99" s="131"/>
      <c r="V99" s="207"/>
      <c r="W99" s="202"/>
      <c r="X99" s="130"/>
      <c r="Y99" s="220"/>
      <c r="Z99" s="178"/>
      <c r="AA99" s="112"/>
      <c r="AB99" s="184"/>
      <c r="AC99" s="178"/>
      <c r="AD99" s="112"/>
      <c r="AE99" s="184"/>
      <c r="AF99" s="178"/>
      <c r="AG99" s="2"/>
      <c r="AH99" s="96"/>
    </row>
    <row r="100" spans="1:34" ht="78.75" customHeight="1" x14ac:dyDescent="0.3">
      <c r="A100" s="59"/>
      <c r="B100" s="315" t="s">
        <v>115</v>
      </c>
      <c r="C100" s="8"/>
      <c r="D100" s="7">
        <v>2020</v>
      </c>
      <c r="E100" s="7"/>
      <c r="F100" s="12"/>
      <c r="G100" s="7" t="s">
        <v>65</v>
      </c>
      <c r="H100" s="137"/>
      <c r="I100" s="125">
        <v>4971.2</v>
      </c>
      <c r="J100" s="126"/>
      <c r="K100" s="45"/>
      <c r="L100" s="127"/>
      <c r="M100" s="183">
        <v>0</v>
      </c>
      <c r="N100" s="177">
        <f>N101+N102</f>
        <v>4412.6000000000004</v>
      </c>
      <c r="O100" s="129">
        <f>O101+O102</f>
        <v>0</v>
      </c>
      <c r="P100" s="183">
        <f>N100+O100</f>
        <v>4412.6000000000004</v>
      </c>
      <c r="Q100" s="188"/>
      <c r="R100" s="128"/>
      <c r="S100" s="183"/>
      <c r="T100" s="192"/>
      <c r="U100" s="131"/>
      <c r="V100" s="207"/>
      <c r="W100" s="202"/>
      <c r="X100" s="130"/>
      <c r="Y100" s="220"/>
      <c r="Z100" s="178"/>
      <c r="AA100" s="112"/>
      <c r="AB100" s="184"/>
      <c r="AC100" s="178"/>
      <c r="AD100" s="112"/>
      <c r="AE100" s="184"/>
      <c r="AF100" s="178"/>
      <c r="AG100" s="2"/>
      <c r="AH100" s="96"/>
    </row>
    <row r="101" spans="1:34" ht="21" customHeight="1" x14ac:dyDescent="0.3">
      <c r="A101" s="59"/>
      <c r="B101" s="6" t="s">
        <v>35</v>
      </c>
      <c r="C101" s="8"/>
      <c r="D101" s="7"/>
      <c r="E101" s="7"/>
      <c r="F101" s="12"/>
      <c r="G101" s="7"/>
      <c r="H101" s="137"/>
      <c r="I101" s="125"/>
      <c r="J101" s="126"/>
      <c r="K101" s="45"/>
      <c r="L101" s="127"/>
      <c r="M101" s="183">
        <v>0</v>
      </c>
      <c r="N101" s="177">
        <v>629.1</v>
      </c>
      <c r="O101" s="129"/>
      <c r="P101" s="183">
        <f t="shared" ref="P101:P102" si="122">N101+O101</f>
        <v>629.1</v>
      </c>
      <c r="Q101" s="188"/>
      <c r="R101" s="128"/>
      <c r="S101" s="183"/>
      <c r="T101" s="192"/>
      <c r="U101" s="131"/>
      <c r="V101" s="207"/>
      <c r="W101" s="202"/>
      <c r="X101" s="130"/>
      <c r="Y101" s="220"/>
      <c r="Z101" s="178"/>
      <c r="AA101" s="112"/>
      <c r="AB101" s="184"/>
      <c r="AC101" s="178"/>
      <c r="AD101" s="112"/>
      <c r="AE101" s="184"/>
      <c r="AF101" s="178"/>
      <c r="AG101" s="2"/>
      <c r="AH101" s="96"/>
    </row>
    <row r="102" spans="1:34" ht="21" customHeight="1" x14ac:dyDescent="0.3">
      <c r="A102" s="59"/>
      <c r="B102" s="6" t="s">
        <v>36</v>
      </c>
      <c r="C102" s="8"/>
      <c r="D102" s="7"/>
      <c r="E102" s="7"/>
      <c r="F102" s="12"/>
      <c r="G102" s="7"/>
      <c r="H102" s="137"/>
      <c r="I102" s="125"/>
      <c r="J102" s="126"/>
      <c r="K102" s="45"/>
      <c r="L102" s="127"/>
      <c r="M102" s="183">
        <v>0</v>
      </c>
      <c r="N102" s="177">
        <v>3783.5</v>
      </c>
      <c r="O102" s="129"/>
      <c r="P102" s="183">
        <f t="shared" si="122"/>
        <v>3783.5</v>
      </c>
      <c r="Q102" s="188"/>
      <c r="R102" s="128"/>
      <c r="S102" s="183"/>
      <c r="T102" s="192"/>
      <c r="U102" s="131"/>
      <c r="V102" s="207"/>
      <c r="W102" s="202"/>
      <c r="X102" s="130"/>
      <c r="Y102" s="220"/>
      <c r="Z102" s="178"/>
      <c r="AA102" s="112"/>
      <c r="AB102" s="184"/>
      <c r="AC102" s="178"/>
      <c r="AD102" s="112"/>
      <c r="AE102" s="184"/>
      <c r="AF102" s="178"/>
      <c r="AG102" s="2"/>
      <c r="AH102" s="96"/>
    </row>
    <row r="103" spans="1:34" ht="76.5" customHeight="1" x14ac:dyDescent="0.3">
      <c r="A103" s="59"/>
      <c r="B103" s="132" t="s">
        <v>114</v>
      </c>
      <c r="C103" s="8"/>
      <c r="D103" s="7">
        <v>2020</v>
      </c>
      <c r="E103" s="7"/>
      <c r="F103" s="12"/>
      <c r="G103" s="7" t="s">
        <v>65</v>
      </c>
      <c r="H103" s="137"/>
      <c r="I103" s="125">
        <v>4523.1000000000004</v>
      </c>
      <c r="J103" s="126"/>
      <c r="K103" s="45"/>
      <c r="L103" s="127"/>
      <c r="M103" s="183"/>
      <c r="N103" s="177">
        <f>N104+N105</f>
        <v>4523.1000000000004</v>
      </c>
      <c r="O103" s="129">
        <f>O104+O105</f>
        <v>0</v>
      </c>
      <c r="P103" s="183">
        <f>N103+O103</f>
        <v>4523.1000000000004</v>
      </c>
      <c r="Q103" s="188"/>
      <c r="R103" s="128"/>
      <c r="S103" s="183"/>
      <c r="T103" s="192"/>
      <c r="U103" s="131"/>
      <c r="V103" s="207"/>
      <c r="W103" s="202"/>
      <c r="X103" s="130"/>
      <c r="Y103" s="220"/>
      <c r="Z103" s="178"/>
      <c r="AA103" s="112"/>
      <c r="AB103" s="184"/>
      <c r="AC103" s="178"/>
      <c r="AD103" s="112"/>
      <c r="AE103" s="184"/>
      <c r="AF103" s="178"/>
      <c r="AG103" s="2"/>
      <c r="AH103" s="96"/>
    </row>
    <row r="104" spans="1:34" ht="21" customHeight="1" x14ac:dyDescent="0.3">
      <c r="A104" s="59"/>
      <c r="B104" s="6" t="s">
        <v>35</v>
      </c>
      <c r="C104" s="8"/>
      <c r="D104" s="7"/>
      <c r="E104" s="7"/>
      <c r="F104" s="12"/>
      <c r="G104" s="7"/>
      <c r="H104" s="137"/>
      <c r="I104" s="125"/>
      <c r="J104" s="126"/>
      <c r="K104" s="45"/>
      <c r="L104" s="127"/>
      <c r="M104" s="183"/>
      <c r="N104" s="177">
        <v>673.1</v>
      </c>
      <c r="O104" s="129"/>
      <c r="P104" s="183">
        <f t="shared" ref="P104:P105" si="123">N104+O104</f>
        <v>673.1</v>
      </c>
      <c r="Q104" s="188"/>
      <c r="R104" s="128"/>
      <c r="S104" s="183"/>
      <c r="T104" s="192"/>
      <c r="U104" s="131"/>
      <c r="V104" s="207"/>
      <c r="W104" s="202"/>
      <c r="X104" s="130"/>
      <c r="Y104" s="220"/>
      <c r="Z104" s="178"/>
      <c r="AA104" s="112"/>
      <c r="AB104" s="184"/>
      <c r="AC104" s="178"/>
      <c r="AD104" s="112"/>
      <c r="AE104" s="184"/>
      <c r="AF104" s="178"/>
      <c r="AG104" s="2"/>
      <c r="AH104" s="96"/>
    </row>
    <row r="105" spans="1:34" ht="21" customHeight="1" x14ac:dyDescent="0.3">
      <c r="A105" s="59"/>
      <c r="B105" s="6" t="s">
        <v>36</v>
      </c>
      <c r="C105" s="8"/>
      <c r="D105" s="7"/>
      <c r="E105" s="7"/>
      <c r="F105" s="12"/>
      <c r="G105" s="7"/>
      <c r="H105" s="137"/>
      <c r="I105" s="125"/>
      <c r="J105" s="126"/>
      <c r="K105" s="45"/>
      <c r="L105" s="127"/>
      <c r="M105" s="183"/>
      <c r="N105" s="177">
        <v>3850</v>
      </c>
      <c r="O105" s="129"/>
      <c r="P105" s="183">
        <f t="shared" si="123"/>
        <v>3850</v>
      </c>
      <c r="Q105" s="188"/>
      <c r="R105" s="128"/>
      <c r="S105" s="183"/>
      <c r="T105" s="192"/>
      <c r="U105" s="131"/>
      <c r="V105" s="207"/>
      <c r="W105" s="202"/>
      <c r="X105" s="130"/>
      <c r="Y105" s="220"/>
      <c r="Z105" s="178"/>
      <c r="AA105" s="112"/>
      <c r="AB105" s="184"/>
      <c r="AC105" s="178"/>
      <c r="AD105" s="112"/>
      <c r="AE105" s="184"/>
      <c r="AF105" s="178"/>
      <c r="AG105" s="2"/>
      <c r="AH105" s="96"/>
    </row>
    <row r="106" spans="1:34" ht="93" customHeight="1" x14ac:dyDescent="0.3">
      <c r="A106" s="59"/>
      <c r="B106" s="132" t="s">
        <v>113</v>
      </c>
      <c r="C106" s="8"/>
      <c r="D106" s="7">
        <v>2021</v>
      </c>
      <c r="E106" s="7"/>
      <c r="F106" s="12"/>
      <c r="G106" s="7" t="s">
        <v>71</v>
      </c>
      <c r="H106" s="137"/>
      <c r="I106" s="125">
        <v>19453</v>
      </c>
      <c r="J106" s="126"/>
      <c r="K106" s="45"/>
      <c r="L106" s="127"/>
      <c r="M106" s="183"/>
      <c r="N106" s="177">
        <f>N107+N108</f>
        <v>1913</v>
      </c>
      <c r="O106" s="129">
        <f>O107+O108</f>
        <v>0</v>
      </c>
      <c r="P106" s="183">
        <f>N106+O106</f>
        <v>1913</v>
      </c>
      <c r="Q106" s="177">
        <f>Q107+Q108</f>
        <v>17540</v>
      </c>
      <c r="R106" s="129">
        <f t="shared" ref="R106:S106" si="124">R107+R108</f>
        <v>0</v>
      </c>
      <c r="S106" s="292">
        <f t="shared" si="124"/>
        <v>17540</v>
      </c>
      <c r="T106" s="192"/>
      <c r="U106" s="131"/>
      <c r="V106" s="207"/>
      <c r="W106" s="202"/>
      <c r="X106" s="130"/>
      <c r="Y106" s="220"/>
      <c r="Z106" s="178"/>
      <c r="AA106" s="112"/>
      <c r="AB106" s="184"/>
      <c r="AC106" s="178"/>
      <c r="AD106" s="112"/>
      <c r="AE106" s="184"/>
      <c r="AF106" s="178"/>
      <c r="AG106" s="2"/>
      <c r="AH106" s="96"/>
    </row>
    <row r="107" spans="1:34" ht="21" customHeight="1" x14ac:dyDescent="0.3">
      <c r="A107" s="59"/>
      <c r="B107" s="6" t="s">
        <v>35</v>
      </c>
      <c r="C107" s="8"/>
      <c r="D107" s="7"/>
      <c r="E107" s="7"/>
      <c r="F107" s="12"/>
      <c r="G107" s="7"/>
      <c r="H107" s="137"/>
      <c r="I107" s="125"/>
      <c r="J107" s="126"/>
      <c r="K107" s="45"/>
      <c r="L107" s="127"/>
      <c r="M107" s="183"/>
      <c r="N107" s="177">
        <f>1953-40</f>
        <v>1913</v>
      </c>
      <c r="O107" s="129"/>
      <c r="P107" s="183">
        <f t="shared" ref="P107:P108" si="125">N107+O107</f>
        <v>1913</v>
      </c>
      <c r="Q107" s="177">
        <v>40</v>
      </c>
      <c r="R107" s="129"/>
      <c r="S107" s="183">
        <f>Q107+R107</f>
        <v>40</v>
      </c>
      <c r="T107" s="192"/>
      <c r="U107" s="131"/>
      <c r="V107" s="207"/>
      <c r="W107" s="202"/>
      <c r="X107" s="130"/>
      <c r="Y107" s="220"/>
      <c r="Z107" s="178"/>
      <c r="AA107" s="112"/>
      <c r="AB107" s="184"/>
      <c r="AC107" s="178"/>
      <c r="AD107" s="112"/>
      <c r="AE107" s="184"/>
      <c r="AF107" s="178"/>
      <c r="AG107" s="2"/>
      <c r="AH107" s="96"/>
    </row>
    <row r="108" spans="1:34" ht="21" customHeight="1" thickBot="1" x14ac:dyDescent="0.35">
      <c r="A108" s="59"/>
      <c r="B108" s="6" t="s">
        <v>36</v>
      </c>
      <c r="C108" s="8"/>
      <c r="D108" s="7"/>
      <c r="E108" s="7"/>
      <c r="F108" s="12"/>
      <c r="G108" s="7"/>
      <c r="H108" s="137"/>
      <c r="I108" s="125"/>
      <c r="J108" s="126"/>
      <c r="K108" s="45"/>
      <c r="L108" s="127"/>
      <c r="M108" s="183"/>
      <c r="N108" s="177">
        <f>17500-17500</f>
        <v>0</v>
      </c>
      <c r="O108" s="129"/>
      <c r="P108" s="183">
        <f t="shared" si="125"/>
        <v>0</v>
      </c>
      <c r="Q108" s="177">
        <v>17500</v>
      </c>
      <c r="R108" s="129"/>
      <c r="S108" s="183">
        <f>Q108+R108</f>
        <v>17500</v>
      </c>
      <c r="T108" s="192"/>
      <c r="U108" s="131"/>
      <c r="V108" s="207"/>
      <c r="W108" s="202"/>
      <c r="X108" s="130"/>
      <c r="Y108" s="220"/>
      <c r="Z108" s="178"/>
      <c r="AA108" s="112"/>
      <c r="AB108" s="184"/>
      <c r="AC108" s="178"/>
      <c r="AD108" s="112"/>
      <c r="AE108" s="184"/>
      <c r="AF108" s="178"/>
      <c r="AG108" s="2"/>
      <c r="AH108" s="96"/>
    </row>
    <row r="109" spans="1:34" ht="93" customHeight="1" thickBot="1" x14ac:dyDescent="0.35">
      <c r="A109" s="59"/>
      <c r="B109" s="247" t="s">
        <v>81</v>
      </c>
      <c r="C109" s="8"/>
      <c r="D109" s="7">
        <v>2021</v>
      </c>
      <c r="E109" s="7"/>
      <c r="F109" s="12"/>
      <c r="G109" s="7"/>
      <c r="H109" s="137"/>
      <c r="I109" s="125">
        <v>4955</v>
      </c>
      <c r="J109" s="126"/>
      <c r="K109" s="45"/>
      <c r="L109" s="127"/>
      <c r="M109" s="183"/>
      <c r="N109" s="177"/>
      <c r="O109" s="129"/>
      <c r="P109" s="183"/>
      <c r="Q109" s="188">
        <f>Q110+Q111</f>
        <v>0</v>
      </c>
      <c r="R109" s="188">
        <f t="shared" ref="R109:S109" si="126">R110+R111</f>
        <v>4955</v>
      </c>
      <c r="S109" s="250">
        <f t="shared" si="126"/>
        <v>4955</v>
      </c>
      <c r="T109" s="192"/>
      <c r="U109" s="131"/>
      <c r="V109" s="207"/>
      <c r="W109" s="202"/>
      <c r="X109" s="202"/>
      <c r="Y109" s="220"/>
      <c r="Z109" s="178"/>
      <c r="AA109" s="178"/>
      <c r="AB109" s="184"/>
      <c r="AC109" s="178"/>
      <c r="AD109" s="112"/>
      <c r="AE109" s="184"/>
      <c r="AF109" s="178"/>
      <c r="AG109" s="2"/>
      <c r="AH109" s="96"/>
    </row>
    <row r="110" spans="1:34" ht="21" customHeight="1" x14ac:dyDescent="0.3">
      <c r="A110" s="59"/>
      <c r="B110" s="26" t="s">
        <v>22</v>
      </c>
      <c r="C110" s="27"/>
      <c r="D110" s="28"/>
      <c r="E110" s="28"/>
      <c r="F110" s="34"/>
      <c r="G110" s="28"/>
      <c r="H110" s="138"/>
      <c r="I110" s="272"/>
      <c r="J110" s="273"/>
      <c r="K110" s="274"/>
      <c r="L110" s="275"/>
      <c r="M110" s="276"/>
      <c r="N110" s="277"/>
      <c r="O110" s="278"/>
      <c r="P110" s="276"/>
      <c r="Q110" s="279"/>
      <c r="R110" s="278"/>
      <c r="S110" s="276"/>
      <c r="T110" s="280"/>
      <c r="U110" s="281"/>
      <c r="V110" s="282"/>
      <c r="W110" s="283"/>
      <c r="X110" s="283"/>
      <c r="Y110" s="284"/>
      <c r="Z110" s="198"/>
      <c r="AA110" s="198"/>
      <c r="AB110" s="216"/>
      <c r="AC110" s="198"/>
      <c r="AD110" s="113"/>
      <c r="AE110" s="216"/>
      <c r="AF110" s="198"/>
      <c r="AG110" s="232"/>
      <c r="AH110" s="235"/>
    </row>
    <row r="111" spans="1:34" ht="21" customHeight="1" x14ac:dyDescent="0.3">
      <c r="A111" s="59"/>
      <c r="B111" s="6" t="s">
        <v>23</v>
      </c>
      <c r="C111" s="8"/>
      <c r="D111" s="7"/>
      <c r="E111" s="7"/>
      <c r="F111" s="12"/>
      <c r="G111" s="7"/>
      <c r="H111" s="137"/>
      <c r="I111" s="125"/>
      <c r="J111" s="126"/>
      <c r="K111" s="45"/>
      <c r="L111" s="127"/>
      <c r="M111" s="183"/>
      <c r="N111" s="177"/>
      <c r="O111" s="129"/>
      <c r="P111" s="183"/>
      <c r="Q111" s="188">
        <f>Q112+Q113</f>
        <v>0</v>
      </c>
      <c r="R111" s="188">
        <f t="shared" ref="R111:S111" si="127">R112+R113</f>
        <v>4955</v>
      </c>
      <c r="S111" s="250">
        <f t="shared" si="127"/>
        <v>4955</v>
      </c>
      <c r="T111" s="192"/>
      <c r="U111" s="131"/>
      <c r="V111" s="207"/>
      <c r="W111" s="202"/>
      <c r="X111" s="202"/>
      <c r="Y111" s="220"/>
      <c r="Z111" s="178"/>
      <c r="AA111" s="178"/>
      <c r="AB111" s="184"/>
      <c r="AC111" s="178"/>
      <c r="AD111" s="112"/>
      <c r="AE111" s="184"/>
      <c r="AF111" s="178"/>
      <c r="AG111" s="2"/>
      <c r="AH111" s="96"/>
    </row>
    <row r="112" spans="1:34" ht="21" customHeight="1" x14ac:dyDescent="0.3">
      <c r="A112" s="59"/>
      <c r="B112" s="6" t="s">
        <v>35</v>
      </c>
      <c r="C112" s="8"/>
      <c r="D112" s="7"/>
      <c r="E112" s="7"/>
      <c r="F112" s="12"/>
      <c r="G112" s="7"/>
      <c r="H112" s="137"/>
      <c r="I112" s="125"/>
      <c r="J112" s="126"/>
      <c r="K112" s="45"/>
      <c r="L112" s="127"/>
      <c r="M112" s="183"/>
      <c r="N112" s="177"/>
      <c r="O112" s="129"/>
      <c r="P112" s="183"/>
      <c r="Q112" s="188"/>
      <c r="R112" s="128">
        <v>715</v>
      </c>
      <c r="S112" s="250">
        <f>Q112+R112</f>
        <v>715</v>
      </c>
      <c r="T112" s="192"/>
      <c r="U112" s="131"/>
      <c r="V112" s="207"/>
      <c r="W112" s="202"/>
      <c r="X112" s="202"/>
      <c r="Y112" s="220"/>
      <c r="Z112" s="178"/>
      <c r="AA112" s="178"/>
      <c r="AB112" s="184"/>
      <c r="AC112" s="178"/>
      <c r="AD112" s="112"/>
      <c r="AE112" s="184"/>
      <c r="AF112" s="178"/>
      <c r="AG112" s="2"/>
      <c r="AH112" s="96"/>
    </row>
    <row r="113" spans="1:35" ht="21" customHeight="1" x14ac:dyDescent="0.3">
      <c r="A113" s="59"/>
      <c r="B113" s="6" t="s">
        <v>44</v>
      </c>
      <c r="C113" s="8"/>
      <c r="D113" s="7"/>
      <c r="E113" s="7"/>
      <c r="F113" s="12"/>
      <c r="G113" s="7"/>
      <c r="H113" s="137"/>
      <c r="I113" s="125"/>
      <c r="J113" s="126"/>
      <c r="K113" s="45"/>
      <c r="L113" s="127"/>
      <c r="M113" s="183"/>
      <c r="N113" s="177"/>
      <c r="O113" s="129"/>
      <c r="P113" s="183"/>
      <c r="Q113" s="188"/>
      <c r="R113" s="128">
        <v>4240</v>
      </c>
      <c r="S113" s="250">
        <f>Q113+R113</f>
        <v>4240</v>
      </c>
      <c r="T113" s="192"/>
      <c r="U113" s="131"/>
      <c r="V113" s="207"/>
      <c r="W113" s="202"/>
      <c r="X113" s="202"/>
      <c r="Y113" s="220"/>
      <c r="Z113" s="178"/>
      <c r="AA113" s="178"/>
      <c r="AB113" s="184"/>
      <c r="AC113" s="178"/>
      <c r="AD113" s="112"/>
      <c r="AE113" s="184"/>
      <c r="AF113" s="178"/>
      <c r="AG113" s="2"/>
      <c r="AH113" s="96"/>
    </row>
    <row r="114" spans="1:35" ht="93" customHeight="1" thickBot="1" x14ac:dyDescent="0.35">
      <c r="A114" s="59"/>
      <c r="B114" s="248" t="s">
        <v>82</v>
      </c>
      <c r="C114" s="8"/>
      <c r="D114" s="7">
        <v>2021</v>
      </c>
      <c r="E114" s="7"/>
      <c r="F114" s="12"/>
      <c r="G114" s="7"/>
      <c r="H114" s="137"/>
      <c r="I114" s="125">
        <v>4985</v>
      </c>
      <c r="J114" s="126"/>
      <c r="K114" s="45"/>
      <c r="L114" s="127"/>
      <c r="M114" s="183"/>
      <c r="N114" s="177"/>
      <c r="O114" s="129"/>
      <c r="P114" s="183"/>
      <c r="Q114" s="188">
        <f>Q115+Q116</f>
        <v>0</v>
      </c>
      <c r="R114" s="188">
        <f t="shared" ref="R114:S114" si="128">R115+R116</f>
        <v>4985</v>
      </c>
      <c r="S114" s="250">
        <f t="shared" si="128"/>
        <v>4985</v>
      </c>
      <c r="T114" s="192"/>
      <c r="U114" s="131"/>
      <c r="V114" s="207"/>
      <c r="W114" s="202"/>
      <c r="X114" s="202"/>
      <c r="Y114" s="220"/>
      <c r="Z114" s="178"/>
      <c r="AA114" s="178"/>
      <c r="AB114" s="184"/>
      <c r="AC114" s="178"/>
      <c r="AD114" s="112"/>
      <c r="AE114" s="184"/>
      <c r="AF114" s="178"/>
      <c r="AG114" s="2"/>
      <c r="AH114" s="96"/>
    </row>
    <row r="115" spans="1:35" ht="21" customHeight="1" x14ac:dyDescent="0.3">
      <c r="A115" s="59"/>
      <c r="B115" s="26" t="s">
        <v>22</v>
      </c>
      <c r="C115" s="27"/>
      <c r="D115" s="28"/>
      <c r="E115" s="28"/>
      <c r="F115" s="34"/>
      <c r="G115" s="28"/>
      <c r="H115" s="138"/>
      <c r="I115" s="272"/>
      <c r="J115" s="273"/>
      <c r="K115" s="274"/>
      <c r="L115" s="275"/>
      <c r="M115" s="276"/>
      <c r="N115" s="277"/>
      <c r="O115" s="278"/>
      <c r="P115" s="276"/>
      <c r="Q115" s="279"/>
      <c r="R115" s="278"/>
      <c r="S115" s="276"/>
      <c r="T115" s="280"/>
      <c r="U115" s="281"/>
      <c r="V115" s="282"/>
      <c r="W115" s="283"/>
      <c r="X115" s="283"/>
      <c r="Y115" s="284"/>
      <c r="Z115" s="198"/>
      <c r="AA115" s="198"/>
      <c r="AB115" s="216"/>
      <c r="AC115" s="198"/>
      <c r="AD115" s="113"/>
      <c r="AE115" s="216"/>
      <c r="AF115" s="198"/>
      <c r="AG115" s="232"/>
      <c r="AH115" s="235"/>
    </row>
    <row r="116" spans="1:35" ht="21" customHeight="1" x14ac:dyDescent="0.3">
      <c r="A116" s="59"/>
      <c r="B116" s="6" t="s">
        <v>23</v>
      </c>
      <c r="C116" s="8"/>
      <c r="D116" s="7"/>
      <c r="E116" s="7"/>
      <c r="F116" s="12"/>
      <c r="G116" s="7"/>
      <c r="H116" s="137"/>
      <c r="I116" s="125"/>
      <c r="J116" s="126"/>
      <c r="K116" s="45"/>
      <c r="L116" s="127"/>
      <c r="M116" s="183"/>
      <c r="N116" s="177"/>
      <c r="O116" s="129"/>
      <c r="P116" s="183"/>
      <c r="Q116" s="188">
        <f>Q117+Q118</f>
        <v>0</v>
      </c>
      <c r="R116" s="188">
        <f t="shared" ref="R116:S116" si="129">R117+R118</f>
        <v>4985</v>
      </c>
      <c r="S116" s="250">
        <f t="shared" si="129"/>
        <v>4985</v>
      </c>
      <c r="T116" s="192"/>
      <c r="U116" s="131"/>
      <c r="V116" s="207"/>
      <c r="W116" s="202"/>
      <c r="X116" s="202"/>
      <c r="Y116" s="220"/>
      <c r="Z116" s="178"/>
      <c r="AA116" s="178"/>
      <c r="AB116" s="184"/>
      <c r="AC116" s="178"/>
      <c r="AD116" s="112"/>
      <c r="AE116" s="184"/>
      <c r="AF116" s="178"/>
      <c r="AG116" s="2"/>
      <c r="AH116" s="96"/>
    </row>
    <row r="117" spans="1:35" ht="21" customHeight="1" x14ac:dyDescent="0.3">
      <c r="A117" s="59"/>
      <c r="B117" s="6" t="s">
        <v>35</v>
      </c>
      <c r="C117" s="8"/>
      <c r="D117" s="7"/>
      <c r="E117" s="7"/>
      <c r="F117" s="12"/>
      <c r="G117" s="7"/>
      <c r="H117" s="137"/>
      <c r="I117" s="125"/>
      <c r="J117" s="126"/>
      <c r="K117" s="45"/>
      <c r="L117" s="127"/>
      <c r="M117" s="183"/>
      <c r="N117" s="177"/>
      <c r="O117" s="129"/>
      <c r="P117" s="183"/>
      <c r="Q117" s="188"/>
      <c r="R117" s="128">
        <v>725</v>
      </c>
      <c r="S117" s="250">
        <f>Q117+R117</f>
        <v>725</v>
      </c>
      <c r="T117" s="192"/>
      <c r="U117" s="131"/>
      <c r="V117" s="207"/>
      <c r="W117" s="202"/>
      <c r="X117" s="202"/>
      <c r="Y117" s="220"/>
      <c r="Z117" s="178"/>
      <c r="AA117" s="178"/>
      <c r="AB117" s="184"/>
      <c r="AC117" s="178"/>
      <c r="AD117" s="112"/>
      <c r="AE117" s="184"/>
      <c r="AF117" s="178"/>
      <c r="AG117" s="2"/>
      <c r="AH117" s="96"/>
    </row>
    <row r="118" spans="1:35" ht="21" customHeight="1" x14ac:dyDescent="0.3">
      <c r="A118" s="59"/>
      <c r="B118" s="6" t="s">
        <v>44</v>
      </c>
      <c r="C118" s="8"/>
      <c r="D118" s="7"/>
      <c r="E118" s="7"/>
      <c r="F118" s="12"/>
      <c r="G118" s="7"/>
      <c r="H118" s="137"/>
      <c r="I118" s="125"/>
      <c r="J118" s="126"/>
      <c r="K118" s="45"/>
      <c r="L118" s="127"/>
      <c r="M118" s="183"/>
      <c r="N118" s="177"/>
      <c r="O118" s="129"/>
      <c r="P118" s="183"/>
      <c r="Q118" s="188"/>
      <c r="R118" s="128">
        <v>4260</v>
      </c>
      <c r="S118" s="250">
        <f>Q118+R118</f>
        <v>4260</v>
      </c>
      <c r="T118" s="192"/>
      <c r="U118" s="131"/>
      <c r="V118" s="207"/>
      <c r="W118" s="202"/>
      <c r="X118" s="202"/>
      <c r="Y118" s="220"/>
      <c r="Z118" s="178"/>
      <c r="AA118" s="178"/>
      <c r="AB118" s="184"/>
      <c r="AC118" s="178"/>
      <c r="AD118" s="112"/>
      <c r="AE118" s="184"/>
      <c r="AF118" s="178"/>
      <c r="AG118" s="2"/>
      <c r="AH118" s="96"/>
    </row>
    <row r="119" spans="1:35" ht="90.75" customHeight="1" x14ac:dyDescent="0.3">
      <c r="A119" s="59"/>
      <c r="B119" s="249" t="s">
        <v>100</v>
      </c>
      <c r="C119" s="8"/>
      <c r="D119" s="7">
        <v>2021</v>
      </c>
      <c r="E119" s="7"/>
      <c r="F119" s="12"/>
      <c r="G119" s="7"/>
      <c r="H119" s="137"/>
      <c r="I119" s="125">
        <v>4990</v>
      </c>
      <c r="J119" s="126"/>
      <c r="K119" s="45"/>
      <c r="L119" s="127"/>
      <c r="M119" s="183"/>
      <c r="N119" s="177"/>
      <c r="O119" s="129"/>
      <c r="P119" s="183"/>
      <c r="Q119" s="188">
        <f>Q120+Q121</f>
        <v>0</v>
      </c>
      <c r="R119" s="188">
        <f t="shared" ref="R119:S119" si="130">R120+R121</f>
        <v>4990</v>
      </c>
      <c r="S119" s="250">
        <f t="shared" si="130"/>
        <v>4990</v>
      </c>
      <c r="T119" s="192"/>
      <c r="U119" s="131"/>
      <c r="V119" s="207"/>
      <c r="W119" s="202"/>
      <c r="X119" s="202"/>
      <c r="Y119" s="220"/>
      <c r="Z119" s="178"/>
      <c r="AA119" s="178"/>
      <c r="AB119" s="184"/>
      <c r="AC119" s="178"/>
      <c r="AD119" s="112"/>
      <c r="AE119" s="184"/>
      <c r="AF119" s="178"/>
      <c r="AG119" s="2"/>
      <c r="AH119" s="96"/>
    </row>
    <row r="120" spans="1:35" ht="21" customHeight="1" x14ac:dyDescent="0.3">
      <c r="A120" s="59"/>
      <c r="B120" s="26" t="s">
        <v>22</v>
      </c>
      <c r="C120" s="27"/>
      <c r="D120" s="28"/>
      <c r="E120" s="28"/>
      <c r="F120" s="34"/>
      <c r="G120" s="28"/>
      <c r="H120" s="138"/>
      <c r="I120" s="272"/>
      <c r="J120" s="273"/>
      <c r="K120" s="274"/>
      <c r="L120" s="275"/>
      <c r="M120" s="276"/>
      <c r="N120" s="277"/>
      <c r="O120" s="278"/>
      <c r="P120" s="276"/>
      <c r="Q120" s="279"/>
      <c r="R120" s="278"/>
      <c r="S120" s="276"/>
      <c r="T120" s="280"/>
      <c r="U120" s="281"/>
      <c r="V120" s="282"/>
      <c r="W120" s="283"/>
      <c r="X120" s="283"/>
      <c r="Y120" s="284"/>
      <c r="Z120" s="198"/>
      <c r="AA120" s="198"/>
      <c r="AB120" s="216"/>
      <c r="AC120" s="198"/>
      <c r="AD120" s="113"/>
      <c r="AE120" s="216"/>
      <c r="AF120" s="198"/>
      <c r="AG120" s="232"/>
      <c r="AH120" s="235"/>
    </row>
    <row r="121" spans="1:35" ht="21" customHeight="1" x14ac:dyDescent="0.3">
      <c r="A121" s="59"/>
      <c r="B121" s="6" t="s">
        <v>23</v>
      </c>
      <c r="C121" s="8"/>
      <c r="D121" s="7"/>
      <c r="E121" s="7"/>
      <c r="F121" s="12"/>
      <c r="G121" s="7"/>
      <c r="H121" s="137"/>
      <c r="I121" s="125"/>
      <c r="J121" s="126"/>
      <c r="K121" s="45"/>
      <c r="L121" s="127"/>
      <c r="M121" s="183"/>
      <c r="N121" s="177"/>
      <c r="O121" s="129"/>
      <c r="P121" s="183"/>
      <c r="Q121" s="188">
        <f>Q122+Q123</f>
        <v>0</v>
      </c>
      <c r="R121" s="188">
        <f t="shared" ref="R121:S121" si="131">R122+R123</f>
        <v>4990</v>
      </c>
      <c r="S121" s="250">
        <f t="shared" si="131"/>
        <v>4990</v>
      </c>
      <c r="T121" s="192"/>
      <c r="U121" s="131"/>
      <c r="V121" s="207"/>
      <c r="W121" s="202"/>
      <c r="X121" s="202"/>
      <c r="Y121" s="220"/>
      <c r="Z121" s="178"/>
      <c r="AA121" s="178"/>
      <c r="AB121" s="184"/>
      <c r="AC121" s="178"/>
      <c r="AD121" s="112"/>
      <c r="AE121" s="184"/>
      <c r="AF121" s="178"/>
      <c r="AG121" s="2"/>
      <c r="AH121" s="96"/>
    </row>
    <row r="122" spans="1:35" ht="21" customHeight="1" x14ac:dyDescent="0.3">
      <c r="A122" s="59"/>
      <c r="B122" s="6" t="s">
        <v>35</v>
      </c>
      <c r="C122" s="8"/>
      <c r="D122" s="7"/>
      <c r="E122" s="7"/>
      <c r="F122" s="12"/>
      <c r="G122" s="7"/>
      <c r="H122" s="137"/>
      <c r="I122" s="125"/>
      <c r="J122" s="126"/>
      <c r="K122" s="45"/>
      <c r="L122" s="127"/>
      <c r="M122" s="183"/>
      <c r="N122" s="177"/>
      <c r="O122" s="129"/>
      <c r="P122" s="183"/>
      <c r="Q122" s="188"/>
      <c r="R122" s="128">
        <v>740</v>
      </c>
      <c r="S122" s="250">
        <f>Q122+R122</f>
        <v>740</v>
      </c>
      <c r="T122" s="192"/>
      <c r="U122" s="131"/>
      <c r="V122" s="207"/>
      <c r="W122" s="202"/>
      <c r="X122" s="202"/>
      <c r="Y122" s="220"/>
      <c r="Z122" s="178"/>
      <c r="AA122" s="178"/>
      <c r="AB122" s="184"/>
      <c r="AC122" s="178"/>
      <c r="AD122" s="112"/>
      <c r="AE122" s="184"/>
      <c r="AF122" s="178"/>
      <c r="AG122" s="2"/>
      <c r="AH122" s="96"/>
    </row>
    <row r="123" spans="1:35" ht="21" customHeight="1" x14ac:dyDescent="0.3">
      <c r="A123" s="59"/>
      <c r="B123" s="6" t="s">
        <v>44</v>
      </c>
      <c r="C123" s="8"/>
      <c r="D123" s="7"/>
      <c r="E123" s="7"/>
      <c r="F123" s="12"/>
      <c r="G123" s="7"/>
      <c r="H123" s="137"/>
      <c r="I123" s="125"/>
      <c r="J123" s="126"/>
      <c r="K123" s="45"/>
      <c r="L123" s="127"/>
      <c r="M123" s="183"/>
      <c r="N123" s="177"/>
      <c r="O123" s="129"/>
      <c r="P123" s="183"/>
      <c r="Q123" s="188"/>
      <c r="R123" s="128">
        <v>4250</v>
      </c>
      <c r="S123" s="250">
        <f>Q123+R123</f>
        <v>4250</v>
      </c>
      <c r="T123" s="192"/>
      <c r="U123" s="131"/>
      <c r="V123" s="207"/>
      <c r="W123" s="202"/>
      <c r="X123" s="202"/>
      <c r="Y123" s="220"/>
      <c r="Z123" s="178"/>
      <c r="AA123" s="178"/>
      <c r="AB123" s="184"/>
      <c r="AC123" s="178"/>
      <c r="AD123" s="112"/>
      <c r="AE123" s="184"/>
      <c r="AF123" s="178"/>
      <c r="AG123" s="2"/>
      <c r="AH123" s="96"/>
    </row>
    <row r="124" spans="1:35" s="158" customFormat="1" ht="121.5" customHeight="1" x14ac:dyDescent="0.3">
      <c r="A124" s="343">
        <v>46</v>
      </c>
      <c r="B124" s="43" t="s">
        <v>80</v>
      </c>
      <c r="C124" s="46"/>
      <c r="D124" s="14">
        <v>2026</v>
      </c>
      <c r="E124" s="345">
        <v>6.62</v>
      </c>
      <c r="F124" s="243">
        <v>850</v>
      </c>
      <c r="G124" s="14">
        <v>12.55</v>
      </c>
      <c r="H124" s="140"/>
      <c r="I124" s="91">
        <v>4890055</v>
      </c>
      <c r="J124" s="243">
        <v>12</v>
      </c>
      <c r="K124" s="243">
        <v>550</v>
      </c>
      <c r="L124" s="48">
        <v>3715000</v>
      </c>
      <c r="M124" s="91">
        <v>0</v>
      </c>
      <c r="N124" s="84"/>
      <c r="O124" s="48"/>
      <c r="P124" s="91">
        <f>N124+O124</f>
        <v>0</v>
      </c>
      <c r="Q124" s="84"/>
      <c r="R124" s="48"/>
      <c r="S124" s="91">
        <f>Q124+R124</f>
        <v>0</v>
      </c>
      <c r="T124" s="190"/>
      <c r="U124" s="50"/>
      <c r="V124" s="204"/>
      <c r="W124" s="190">
        <f>W125+W126</f>
        <v>1200000</v>
      </c>
      <c r="X124" s="190">
        <f t="shared" ref="X124:Y124" si="132">X125+X126</f>
        <v>-1187168.3</v>
      </c>
      <c r="Y124" s="204">
        <f t="shared" si="132"/>
        <v>12831.7</v>
      </c>
      <c r="Z124" s="190">
        <f>Z125+Z126</f>
        <v>1315000</v>
      </c>
      <c r="AA124" s="190">
        <f t="shared" ref="AA124:AB124" si="133">AA125+AA126</f>
        <v>-1262858.2</v>
      </c>
      <c r="AB124" s="204">
        <f t="shared" si="133"/>
        <v>52141.8</v>
      </c>
      <c r="AC124" s="190">
        <f>AC125+AC126</f>
        <v>1200000</v>
      </c>
      <c r="AD124" s="190">
        <f t="shared" ref="AD124:AE124" si="134">AD125+AD126</f>
        <v>1000000</v>
      </c>
      <c r="AE124" s="204">
        <f t="shared" si="134"/>
        <v>2200000</v>
      </c>
      <c r="AF124" s="269">
        <f>AF125+AF126</f>
        <v>0</v>
      </c>
      <c r="AG124" s="269">
        <f t="shared" ref="AG124:AH124" si="135">AG125+AG126</f>
        <v>2625081.5</v>
      </c>
      <c r="AH124" s="288">
        <f t="shared" si="135"/>
        <v>2625081.5</v>
      </c>
      <c r="AI124" s="265">
        <f>I124-M124-P124-S124-V124-Y124-AB124-AE124-AH124</f>
        <v>0</v>
      </c>
    </row>
    <row r="125" spans="1:35" s="158" customFormat="1" ht="28.5" customHeight="1" x14ac:dyDescent="0.3">
      <c r="A125" s="157"/>
      <c r="B125" s="26" t="s">
        <v>22</v>
      </c>
      <c r="C125" s="33"/>
      <c r="D125" s="28"/>
      <c r="E125" s="266"/>
      <c r="F125" s="245"/>
      <c r="G125" s="28"/>
      <c r="H125" s="138"/>
      <c r="I125" s="92"/>
      <c r="J125" s="245"/>
      <c r="K125" s="245"/>
      <c r="L125" s="35"/>
      <c r="M125" s="92"/>
      <c r="N125" s="85"/>
      <c r="O125" s="35"/>
      <c r="P125" s="92"/>
      <c r="Q125" s="85"/>
      <c r="R125" s="35"/>
      <c r="S125" s="92"/>
      <c r="T125" s="189"/>
      <c r="U125" s="37"/>
      <c r="V125" s="203"/>
      <c r="W125" s="189">
        <f>W128</f>
        <v>1200000</v>
      </c>
      <c r="X125" s="189">
        <f t="shared" ref="X125:Y125" si="136">X128</f>
        <v>-1200000</v>
      </c>
      <c r="Y125" s="203">
        <f t="shared" si="136"/>
        <v>0</v>
      </c>
      <c r="Z125" s="189">
        <f>Z128</f>
        <v>1315000</v>
      </c>
      <c r="AA125" s="189">
        <f t="shared" ref="AA125:AB125" si="137">AA128</f>
        <v>-1315000</v>
      </c>
      <c r="AB125" s="203">
        <f t="shared" si="137"/>
        <v>0</v>
      </c>
      <c r="AC125" s="189">
        <f>AC128</f>
        <v>1200000</v>
      </c>
      <c r="AD125" s="189">
        <f t="shared" ref="AD125:AE125" si="138">AD128</f>
        <v>1000000</v>
      </c>
      <c r="AE125" s="203">
        <f t="shared" si="138"/>
        <v>2200000</v>
      </c>
      <c r="AF125" s="268">
        <f>AF128</f>
        <v>0</v>
      </c>
      <c r="AG125" s="268">
        <f t="shared" ref="AG125:AH125" si="139">AG128</f>
        <v>2625081.5</v>
      </c>
      <c r="AH125" s="285">
        <f t="shared" si="139"/>
        <v>2625081.5</v>
      </c>
    </row>
    <row r="126" spans="1:35" s="158" customFormat="1" ht="28.5" customHeight="1" x14ac:dyDescent="0.3">
      <c r="A126" s="157"/>
      <c r="B126" s="6" t="s">
        <v>23</v>
      </c>
      <c r="C126" s="46"/>
      <c r="D126" s="14"/>
      <c r="E126" s="244"/>
      <c r="F126" s="243"/>
      <c r="G126" s="14"/>
      <c r="H126" s="140"/>
      <c r="I126" s="91"/>
      <c r="J126" s="243"/>
      <c r="K126" s="243"/>
      <c r="L126" s="48"/>
      <c r="M126" s="91"/>
      <c r="N126" s="84"/>
      <c r="O126" s="48"/>
      <c r="P126" s="91"/>
      <c r="Q126" s="84"/>
      <c r="R126" s="48"/>
      <c r="S126" s="91"/>
      <c r="T126" s="190"/>
      <c r="U126" s="50"/>
      <c r="V126" s="204"/>
      <c r="W126" s="190">
        <f>W127</f>
        <v>0</v>
      </c>
      <c r="X126" s="190">
        <f t="shared" ref="X126:Y126" si="140">X127</f>
        <v>12831.7</v>
      </c>
      <c r="Y126" s="204">
        <f t="shared" si="140"/>
        <v>12831.7</v>
      </c>
      <c r="Z126" s="190">
        <f>Z127</f>
        <v>0</v>
      </c>
      <c r="AA126" s="190">
        <f t="shared" ref="AA126:AB126" si="141">AA127</f>
        <v>52141.8</v>
      </c>
      <c r="AB126" s="204">
        <f t="shared" si="141"/>
        <v>52141.8</v>
      </c>
      <c r="AC126" s="190"/>
      <c r="AD126" s="190"/>
      <c r="AE126" s="204"/>
      <c r="AF126" s="212"/>
      <c r="AG126" s="237"/>
      <c r="AH126" s="234"/>
    </row>
    <row r="127" spans="1:35" s="158" customFormat="1" ht="28.5" customHeight="1" x14ac:dyDescent="0.3">
      <c r="A127" s="157"/>
      <c r="B127" s="6" t="s">
        <v>35</v>
      </c>
      <c r="C127" s="46"/>
      <c r="D127" s="14"/>
      <c r="E127" s="244"/>
      <c r="F127" s="243"/>
      <c r="G127" s="14"/>
      <c r="H127" s="140"/>
      <c r="I127" s="91"/>
      <c r="J127" s="243"/>
      <c r="K127" s="243"/>
      <c r="L127" s="48"/>
      <c r="M127" s="91"/>
      <c r="N127" s="84"/>
      <c r="O127" s="48"/>
      <c r="P127" s="91"/>
      <c r="Q127" s="84"/>
      <c r="R127" s="48"/>
      <c r="S127" s="91"/>
      <c r="T127" s="190"/>
      <c r="U127" s="50"/>
      <c r="V127" s="204"/>
      <c r="W127" s="190"/>
      <c r="X127" s="50">
        <v>12831.7</v>
      </c>
      <c r="Y127" s="204">
        <f>W127+X127</f>
        <v>12831.7</v>
      </c>
      <c r="Z127" s="190"/>
      <c r="AA127" s="190">
        <f>51932.5+209.3</f>
        <v>52141.8</v>
      </c>
      <c r="AB127" s="204">
        <f>Z127+AA127</f>
        <v>52141.8</v>
      </c>
      <c r="AC127" s="190"/>
      <c r="AD127" s="190"/>
      <c r="AE127" s="204"/>
      <c r="AF127" s="212"/>
      <c r="AG127" s="237"/>
      <c r="AH127" s="234"/>
    </row>
    <row r="128" spans="1:35" s="158" customFormat="1" ht="28.5" customHeight="1" x14ac:dyDescent="0.3">
      <c r="A128" s="157"/>
      <c r="B128" s="6" t="s">
        <v>44</v>
      </c>
      <c r="C128" s="46"/>
      <c r="D128" s="14"/>
      <c r="E128" s="244"/>
      <c r="F128" s="243"/>
      <c r="G128" s="14"/>
      <c r="H128" s="140"/>
      <c r="I128" s="91"/>
      <c r="J128" s="243"/>
      <c r="K128" s="243"/>
      <c r="L128" s="48"/>
      <c r="M128" s="91"/>
      <c r="N128" s="84"/>
      <c r="O128" s="48"/>
      <c r="P128" s="91"/>
      <c r="Q128" s="84"/>
      <c r="R128" s="48"/>
      <c r="S128" s="91"/>
      <c r="T128" s="190"/>
      <c r="U128" s="50"/>
      <c r="V128" s="204"/>
      <c r="W128" s="190">
        <v>1200000</v>
      </c>
      <c r="X128" s="190">
        <v>-1200000</v>
      </c>
      <c r="Y128" s="204">
        <f>W128+X128</f>
        <v>0</v>
      </c>
      <c r="Z128" s="190">
        <v>1315000</v>
      </c>
      <c r="AA128" s="190">
        <v>-1315000</v>
      </c>
      <c r="AB128" s="204">
        <f>Z128+AA128</f>
        <v>0</v>
      </c>
      <c r="AC128" s="190">
        <v>1200000</v>
      </c>
      <c r="AD128" s="190">
        <v>1000000</v>
      </c>
      <c r="AE128" s="204">
        <f>AC128+AD128</f>
        <v>2200000</v>
      </c>
      <c r="AF128" s="212"/>
      <c r="AG128" s="237">
        <f>2450026.5+175055</f>
        <v>2625081.5</v>
      </c>
      <c r="AH128" s="267">
        <f>AF128+AG128</f>
        <v>2625081.5</v>
      </c>
    </row>
    <row r="129" spans="1:35" ht="63.75" customHeight="1" x14ac:dyDescent="0.3">
      <c r="A129" s="343">
        <v>47</v>
      </c>
      <c r="B129" s="43" t="s">
        <v>79</v>
      </c>
      <c r="C129" s="46"/>
      <c r="D129" s="14">
        <v>2026</v>
      </c>
      <c r="E129" s="167">
        <v>7.7450000000000001</v>
      </c>
      <c r="F129" s="243">
        <v>305</v>
      </c>
      <c r="G129" s="14">
        <v>8.0500000000000007</v>
      </c>
      <c r="H129" s="140"/>
      <c r="I129" s="91">
        <v>3486950</v>
      </c>
      <c r="J129" s="243">
        <v>1</v>
      </c>
      <c r="K129" s="243">
        <v>220</v>
      </c>
      <c r="L129" s="48">
        <v>1380000</v>
      </c>
      <c r="M129" s="91">
        <v>0</v>
      </c>
      <c r="N129" s="84"/>
      <c r="O129" s="48"/>
      <c r="P129" s="91">
        <f t="shared" ref="P129:P169" si="142">N129+O129</f>
        <v>0</v>
      </c>
      <c r="Q129" s="84"/>
      <c r="R129" s="48"/>
      <c r="S129" s="91">
        <f t="shared" ref="S129:S169" si="143">Q129+R129</f>
        <v>0</v>
      </c>
      <c r="T129" s="190"/>
      <c r="U129" s="50"/>
      <c r="V129" s="204"/>
      <c r="W129" s="190">
        <v>395000</v>
      </c>
      <c r="X129" s="50">
        <v>-395000</v>
      </c>
      <c r="Y129" s="204">
        <f>W129+X129</f>
        <v>0</v>
      </c>
      <c r="Z129" s="190">
        <f>Z130+Z131</f>
        <v>985000</v>
      </c>
      <c r="AA129" s="190">
        <f t="shared" ref="AA129:AB129" si="144">AA130+AA131</f>
        <v>-976591.2</v>
      </c>
      <c r="AB129" s="204">
        <f t="shared" si="144"/>
        <v>8408.7999999999993</v>
      </c>
      <c r="AC129" s="190">
        <f>AC130+AC131</f>
        <v>0</v>
      </c>
      <c r="AD129" s="190">
        <f t="shared" ref="AD129:AE129" si="145">AD130+AD131</f>
        <v>24312.3</v>
      </c>
      <c r="AE129" s="204">
        <f t="shared" si="145"/>
        <v>24312.3</v>
      </c>
      <c r="AF129" s="269">
        <f>AF130+AF131</f>
        <v>0</v>
      </c>
      <c r="AG129" s="269">
        <f t="shared" ref="AG129:AH129" si="146">AG130+AG131</f>
        <v>3454228.9</v>
      </c>
      <c r="AH129" s="288">
        <f t="shared" si="146"/>
        <v>3454228.9</v>
      </c>
      <c r="AI129" s="40">
        <f>I129-M129-P129-S129-V129-Y129-AB129-AE129-AH129</f>
        <v>0</v>
      </c>
    </row>
    <row r="130" spans="1:35" ht="24.75" customHeight="1" x14ac:dyDescent="0.3">
      <c r="A130" s="59"/>
      <c r="B130" s="26" t="s">
        <v>22</v>
      </c>
      <c r="C130" s="33"/>
      <c r="D130" s="28"/>
      <c r="E130" s="19"/>
      <c r="F130" s="245"/>
      <c r="G130" s="28"/>
      <c r="H130" s="138"/>
      <c r="I130" s="92"/>
      <c r="J130" s="245"/>
      <c r="K130" s="245"/>
      <c r="L130" s="35"/>
      <c r="M130" s="92"/>
      <c r="N130" s="85"/>
      <c r="O130" s="35"/>
      <c r="P130" s="92"/>
      <c r="Q130" s="85"/>
      <c r="R130" s="35"/>
      <c r="S130" s="92"/>
      <c r="T130" s="189"/>
      <c r="U130" s="37"/>
      <c r="V130" s="203"/>
      <c r="W130" s="189"/>
      <c r="X130" s="37"/>
      <c r="Y130" s="203"/>
      <c r="Z130" s="189">
        <f>Z133</f>
        <v>985000</v>
      </c>
      <c r="AA130" s="189">
        <f t="shared" ref="AA130:AB130" si="147">AA133</f>
        <v>-985000</v>
      </c>
      <c r="AB130" s="203">
        <f t="shared" si="147"/>
        <v>0</v>
      </c>
      <c r="AC130" s="268">
        <f>AC133</f>
        <v>0</v>
      </c>
      <c r="AD130" s="268">
        <f t="shared" ref="AD130:AE130" si="148">AD133</f>
        <v>0</v>
      </c>
      <c r="AE130" s="285">
        <f t="shared" si="148"/>
        <v>0</v>
      </c>
      <c r="AF130" s="268">
        <f>AF133</f>
        <v>0</v>
      </c>
      <c r="AG130" s="268">
        <f t="shared" ref="AG130:AH130" si="149">AG133</f>
        <v>3454228.9</v>
      </c>
      <c r="AH130" s="285">
        <f t="shared" si="149"/>
        <v>3454228.9</v>
      </c>
    </row>
    <row r="131" spans="1:35" ht="24.75" customHeight="1" x14ac:dyDescent="0.3">
      <c r="A131" s="59"/>
      <c r="B131" s="6" t="s">
        <v>23</v>
      </c>
      <c r="C131" s="46"/>
      <c r="D131" s="14"/>
      <c r="E131" s="167"/>
      <c r="F131" s="243"/>
      <c r="G131" s="14"/>
      <c r="H131" s="140"/>
      <c r="I131" s="91"/>
      <c r="J131" s="243"/>
      <c r="K131" s="243"/>
      <c r="L131" s="48"/>
      <c r="M131" s="91"/>
      <c r="N131" s="84"/>
      <c r="O131" s="48"/>
      <c r="P131" s="91"/>
      <c r="Q131" s="84"/>
      <c r="R131" s="48"/>
      <c r="S131" s="91"/>
      <c r="T131" s="190"/>
      <c r="U131" s="50"/>
      <c r="V131" s="204"/>
      <c r="W131" s="190"/>
      <c r="X131" s="50"/>
      <c r="Y131" s="204"/>
      <c r="Z131" s="190"/>
      <c r="AA131" s="50">
        <f>AA132</f>
        <v>8408.7999999999993</v>
      </c>
      <c r="AB131" s="204">
        <f>AB132</f>
        <v>8408.7999999999993</v>
      </c>
      <c r="AC131" s="212">
        <f>AC132</f>
        <v>0</v>
      </c>
      <c r="AD131" s="212">
        <f t="shared" ref="AD131:AE131" si="150">AD132</f>
        <v>24312.3</v>
      </c>
      <c r="AE131" s="224">
        <f t="shared" si="150"/>
        <v>24312.3</v>
      </c>
      <c r="AF131" s="212"/>
      <c r="AG131" s="76"/>
      <c r="AH131" s="96"/>
    </row>
    <row r="132" spans="1:35" ht="24.75" customHeight="1" x14ac:dyDescent="0.3">
      <c r="A132" s="59"/>
      <c r="B132" s="6" t="s">
        <v>35</v>
      </c>
      <c r="C132" s="46"/>
      <c r="D132" s="14"/>
      <c r="E132" s="167"/>
      <c r="F132" s="243"/>
      <c r="G132" s="14"/>
      <c r="H132" s="140"/>
      <c r="I132" s="91"/>
      <c r="J132" s="243"/>
      <c r="K132" s="243"/>
      <c r="L132" s="48"/>
      <c r="M132" s="91"/>
      <c r="N132" s="84"/>
      <c r="O132" s="48"/>
      <c r="P132" s="91"/>
      <c r="Q132" s="84"/>
      <c r="R132" s="48"/>
      <c r="S132" s="91"/>
      <c r="T132" s="190"/>
      <c r="U132" s="50"/>
      <c r="V132" s="204"/>
      <c r="W132" s="190"/>
      <c r="X132" s="50"/>
      <c r="Y132" s="204"/>
      <c r="Z132" s="190"/>
      <c r="AA132" s="50">
        <v>8408.7999999999993</v>
      </c>
      <c r="AB132" s="204">
        <f>Z132+AA132</f>
        <v>8408.7999999999993</v>
      </c>
      <c r="AC132" s="212"/>
      <c r="AD132" s="169">
        <f>24103+209.3</f>
        <v>24312.3</v>
      </c>
      <c r="AE132" s="224">
        <f>AC132+AD132</f>
        <v>24312.3</v>
      </c>
      <c r="AF132" s="212">
        <f>AE132+AB132</f>
        <v>32721.1</v>
      </c>
      <c r="AG132" s="76"/>
      <c r="AH132" s="96"/>
    </row>
    <row r="133" spans="1:35" ht="24.75" customHeight="1" x14ac:dyDescent="0.3">
      <c r="A133" s="59"/>
      <c r="B133" s="6" t="s">
        <v>44</v>
      </c>
      <c r="C133" s="46"/>
      <c r="D133" s="14"/>
      <c r="E133" s="167"/>
      <c r="F133" s="243"/>
      <c r="G133" s="14"/>
      <c r="H133" s="140"/>
      <c r="I133" s="91"/>
      <c r="J133" s="243"/>
      <c r="K133" s="243"/>
      <c r="L133" s="48"/>
      <c r="M133" s="91"/>
      <c r="N133" s="84"/>
      <c r="O133" s="48"/>
      <c r="P133" s="91"/>
      <c r="Q133" s="84"/>
      <c r="R133" s="48"/>
      <c r="S133" s="91"/>
      <c r="T133" s="190"/>
      <c r="U133" s="50"/>
      <c r="V133" s="204"/>
      <c r="W133" s="190"/>
      <c r="X133" s="50"/>
      <c r="Y133" s="204"/>
      <c r="Z133" s="190">
        <v>985000</v>
      </c>
      <c r="AA133" s="50">
        <v>-985000</v>
      </c>
      <c r="AB133" s="204">
        <f>Z133+AA133</f>
        <v>0</v>
      </c>
      <c r="AC133" s="212"/>
      <c r="AD133" s="169"/>
      <c r="AE133" s="224">
        <f>AC133+AD133</f>
        <v>0</v>
      </c>
      <c r="AF133" s="212"/>
      <c r="AG133" s="76">
        <f>1347278.9+2106950</f>
        <v>3454228.9</v>
      </c>
      <c r="AH133" s="261">
        <f>AF133+AG133</f>
        <v>3454228.9</v>
      </c>
    </row>
    <row r="134" spans="1:35" ht="156" customHeight="1" x14ac:dyDescent="0.3">
      <c r="A134" s="344"/>
      <c r="B134" s="132" t="s">
        <v>92</v>
      </c>
      <c r="C134" s="46"/>
      <c r="D134" s="14">
        <v>2026</v>
      </c>
      <c r="E134" s="167">
        <v>49</v>
      </c>
      <c r="F134" s="243"/>
      <c r="G134" s="14"/>
      <c r="H134" s="140"/>
      <c r="I134" s="91">
        <v>4465120</v>
      </c>
      <c r="J134" s="243"/>
      <c r="K134" s="243"/>
      <c r="L134" s="48"/>
      <c r="M134" s="91"/>
      <c r="N134" s="84"/>
      <c r="O134" s="48"/>
      <c r="P134" s="91"/>
      <c r="Q134" s="84"/>
      <c r="R134" s="48"/>
      <c r="S134" s="91"/>
      <c r="T134" s="190"/>
      <c r="U134" s="50"/>
      <c r="V134" s="204"/>
      <c r="W134" s="190">
        <f>W135+W136</f>
        <v>0</v>
      </c>
      <c r="X134" s="190">
        <f t="shared" ref="X134:Y134" si="151">X135+X136</f>
        <v>23416</v>
      </c>
      <c r="Y134" s="204">
        <f t="shared" si="151"/>
        <v>23416</v>
      </c>
      <c r="Z134" s="190">
        <f>Z135+Z136</f>
        <v>0</v>
      </c>
      <c r="AA134" s="190">
        <f t="shared" ref="AA134:AB134" si="152">AA135+AA136</f>
        <v>35509.9</v>
      </c>
      <c r="AB134" s="204">
        <f t="shared" si="152"/>
        <v>35509.9</v>
      </c>
      <c r="AC134" s="190">
        <f>AC135+AC136</f>
        <v>0</v>
      </c>
      <c r="AD134" s="190">
        <f t="shared" ref="AD134:AE134" si="153">AD135+AD136</f>
        <v>2200000</v>
      </c>
      <c r="AE134" s="312">
        <f t="shared" si="153"/>
        <v>2200000</v>
      </c>
      <c r="AF134" s="190">
        <f>AF135+AF136</f>
        <v>0</v>
      </c>
      <c r="AG134" s="190">
        <f t="shared" ref="AG134:AH134" si="154">AG135+AG136</f>
        <v>2206194.1</v>
      </c>
      <c r="AH134" s="312">
        <f t="shared" si="154"/>
        <v>2206194.1</v>
      </c>
      <c r="AI134" s="40">
        <f>I134-Y134-AB134-AE134-AH134</f>
        <v>0</v>
      </c>
    </row>
    <row r="135" spans="1:35" ht="24.75" customHeight="1" x14ac:dyDescent="0.3">
      <c r="A135" s="59"/>
      <c r="B135" s="26" t="s">
        <v>22</v>
      </c>
      <c r="C135" s="33"/>
      <c r="D135" s="28"/>
      <c r="E135" s="19"/>
      <c r="F135" s="245"/>
      <c r="G135" s="28"/>
      <c r="H135" s="138"/>
      <c r="I135" s="92"/>
      <c r="J135" s="245"/>
      <c r="K135" s="245"/>
      <c r="L135" s="35"/>
      <c r="M135" s="92"/>
      <c r="N135" s="85"/>
      <c r="O135" s="35"/>
      <c r="P135" s="92"/>
      <c r="Q135" s="85"/>
      <c r="R135" s="35"/>
      <c r="S135" s="92"/>
      <c r="T135" s="189"/>
      <c r="U135" s="37"/>
      <c r="V135" s="203"/>
      <c r="W135" s="189"/>
      <c r="X135" s="37"/>
      <c r="Y135" s="203"/>
      <c r="Z135" s="189"/>
      <c r="AA135" s="37"/>
      <c r="AB135" s="203"/>
      <c r="AC135" s="198">
        <f>AC138</f>
        <v>0</v>
      </c>
      <c r="AD135" s="198">
        <f t="shared" ref="AD135:AE135" si="155">AD138</f>
        <v>2200000</v>
      </c>
      <c r="AE135" s="314">
        <f t="shared" si="155"/>
        <v>2200000</v>
      </c>
      <c r="AF135" s="198">
        <f>AF138</f>
        <v>0</v>
      </c>
      <c r="AG135" s="198">
        <f t="shared" ref="AG135:AH135" si="156">AG138</f>
        <v>2206194.1</v>
      </c>
      <c r="AH135" s="314">
        <f t="shared" si="156"/>
        <v>2206194.1</v>
      </c>
    </row>
    <row r="136" spans="1:35" ht="24.75" customHeight="1" x14ac:dyDescent="0.3">
      <c r="A136" s="59"/>
      <c r="B136" s="6" t="s">
        <v>23</v>
      </c>
      <c r="C136" s="46"/>
      <c r="D136" s="14"/>
      <c r="E136" s="167"/>
      <c r="F136" s="243"/>
      <c r="G136" s="14"/>
      <c r="H136" s="140"/>
      <c r="I136" s="91"/>
      <c r="J136" s="243"/>
      <c r="K136" s="243"/>
      <c r="L136" s="48"/>
      <c r="M136" s="91"/>
      <c r="N136" s="84"/>
      <c r="O136" s="48"/>
      <c r="P136" s="91"/>
      <c r="Q136" s="84"/>
      <c r="R136" s="48"/>
      <c r="S136" s="91"/>
      <c r="T136" s="190"/>
      <c r="U136" s="50"/>
      <c r="V136" s="204"/>
      <c r="W136" s="190">
        <f>W137</f>
        <v>0</v>
      </c>
      <c r="X136" s="190">
        <f t="shared" ref="X136:Y136" si="157">X137</f>
        <v>23416</v>
      </c>
      <c r="Y136" s="204">
        <f t="shared" si="157"/>
        <v>23416</v>
      </c>
      <c r="Z136" s="190">
        <f>Z137</f>
        <v>0</v>
      </c>
      <c r="AA136" s="190">
        <f t="shared" ref="AA136:AB136" si="158">AA137</f>
        <v>35509.9</v>
      </c>
      <c r="AB136" s="204">
        <f t="shared" si="158"/>
        <v>35509.9</v>
      </c>
      <c r="AC136" s="212"/>
      <c r="AD136" s="169"/>
      <c r="AE136" s="224"/>
      <c r="AF136" s="212"/>
      <c r="AG136" s="76"/>
      <c r="AH136" s="96"/>
    </row>
    <row r="137" spans="1:35" ht="24.75" customHeight="1" x14ac:dyDescent="0.3">
      <c r="A137" s="59"/>
      <c r="B137" s="6" t="s">
        <v>35</v>
      </c>
      <c r="C137" s="46"/>
      <c r="D137" s="14"/>
      <c r="E137" s="167"/>
      <c r="F137" s="243"/>
      <c r="G137" s="14"/>
      <c r="H137" s="140"/>
      <c r="I137" s="91"/>
      <c r="J137" s="243"/>
      <c r="K137" s="243"/>
      <c r="L137" s="48"/>
      <c r="M137" s="91"/>
      <c r="N137" s="84"/>
      <c r="O137" s="48"/>
      <c r="P137" s="91"/>
      <c r="Q137" s="84"/>
      <c r="R137" s="48"/>
      <c r="S137" s="91"/>
      <c r="T137" s="190"/>
      <c r="U137" s="50"/>
      <c r="V137" s="204"/>
      <c r="W137" s="190"/>
      <c r="X137" s="50">
        <v>23416</v>
      </c>
      <c r="Y137" s="204">
        <f>W137+X137</f>
        <v>23416</v>
      </c>
      <c r="Z137" s="190"/>
      <c r="AA137" s="50">
        <f>35308.3+201.6</f>
        <v>35509.9</v>
      </c>
      <c r="AB137" s="204">
        <f>Z137+AA137</f>
        <v>35509.9</v>
      </c>
      <c r="AC137" s="212">
        <f>AB137+Y137</f>
        <v>58925.9</v>
      </c>
      <c r="AD137" s="169"/>
      <c r="AE137" s="224"/>
      <c r="AF137" s="212"/>
      <c r="AG137" s="76"/>
      <c r="AH137" s="96"/>
    </row>
    <row r="138" spans="1:35" ht="24.75" customHeight="1" x14ac:dyDescent="0.3">
      <c r="A138" s="59"/>
      <c r="B138" s="6" t="s">
        <v>44</v>
      </c>
      <c r="C138" s="46"/>
      <c r="D138" s="14"/>
      <c r="E138" s="167"/>
      <c r="F138" s="243"/>
      <c r="G138" s="14"/>
      <c r="H138" s="140"/>
      <c r="I138" s="91"/>
      <c r="J138" s="243"/>
      <c r="K138" s="243"/>
      <c r="L138" s="48"/>
      <c r="M138" s="91"/>
      <c r="N138" s="84"/>
      <c r="O138" s="48"/>
      <c r="P138" s="91"/>
      <c r="Q138" s="84"/>
      <c r="R138" s="48"/>
      <c r="S138" s="91"/>
      <c r="T138" s="190"/>
      <c r="U138" s="50"/>
      <c r="V138" s="204"/>
      <c r="W138" s="190"/>
      <c r="X138" s="50"/>
      <c r="Y138" s="204"/>
      <c r="Z138" s="190"/>
      <c r="AA138" s="50"/>
      <c r="AB138" s="204"/>
      <c r="AC138" s="212"/>
      <c r="AD138" s="169">
        <v>2200000</v>
      </c>
      <c r="AE138" s="224">
        <f>AC138+AD138</f>
        <v>2200000</v>
      </c>
      <c r="AF138" s="212"/>
      <c r="AG138" s="302">
        <v>2206194.1</v>
      </c>
      <c r="AH138" s="261">
        <f>AF138+AG138</f>
        <v>2206194.1</v>
      </c>
    </row>
    <row r="139" spans="1:35" ht="64.5" customHeight="1" x14ac:dyDescent="0.3">
      <c r="A139" s="344"/>
      <c r="B139" s="43" t="s">
        <v>86</v>
      </c>
      <c r="C139" s="46"/>
      <c r="D139" s="14">
        <v>2026</v>
      </c>
      <c r="E139" s="167">
        <v>58.55</v>
      </c>
      <c r="F139" s="243"/>
      <c r="G139" s="14"/>
      <c r="H139" s="140"/>
      <c r="I139" s="91">
        <v>2902380</v>
      </c>
      <c r="J139" s="243"/>
      <c r="K139" s="243"/>
      <c r="L139" s="48"/>
      <c r="M139" s="91"/>
      <c r="N139" s="84"/>
      <c r="O139" s="48"/>
      <c r="P139" s="91"/>
      <c r="Q139" s="84"/>
      <c r="R139" s="48"/>
      <c r="S139" s="91"/>
      <c r="T139" s="190"/>
      <c r="U139" s="50"/>
      <c r="V139" s="204"/>
      <c r="W139" s="190">
        <f>W140+W141</f>
        <v>0</v>
      </c>
      <c r="X139" s="190">
        <f t="shared" ref="X139:Y139" si="159">X140+X141</f>
        <v>20916.5</v>
      </c>
      <c r="Y139" s="204">
        <f t="shared" si="159"/>
        <v>20916.5</v>
      </c>
      <c r="Z139" s="190">
        <f>Z140+Z141</f>
        <v>0</v>
      </c>
      <c r="AA139" s="190">
        <f t="shared" ref="AA139:AB139" si="160">AA140+AA141</f>
        <v>25555.199999999997</v>
      </c>
      <c r="AB139" s="204">
        <f t="shared" si="160"/>
        <v>25555.199999999997</v>
      </c>
      <c r="AC139" s="190">
        <f>AB139+Y139</f>
        <v>46471.7</v>
      </c>
      <c r="AD139" s="190">
        <f t="shared" ref="AD139:AE139" si="161">AD140+AD141</f>
        <v>1400000</v>
      </c>
      <c r="AE139" s="312">
        <f t="shared" si="161"/>
        <v>1400000</v>
      </c>
      <c r="AF139" s="190">
        <f>AF140+AF141</f>
        <v>0</v>
      </c>
      <c r="AG139" s="190">
        <f t="shared" ref="AG139:AH139" si="162">AG140+AG141</f>
        <v>1455908.3</v>
      </c>
      <c r="AH139" s="312">
        <f t="shared" si="162"/>
        <v>1455908.3</v>
      </c>
      <c r="AI139" s="40">
        <f>I139-Y139-AB139-AE139-AH139</f>
        <v>0</v>
      </c>
    </row>
    <row r="140" spans="1:35" ht="24.75" customHeight="1" x14ac:dyDescent="0.3">
      <c r="A140" s="59"/>
      <c r="B140" s="26" t="s">
        <v>22</v>
      </c>
      <c r="C140" s="33"/>
      <c r="D140" s="28"/>
      <c r="E140" s="19"/>
      <c r="F140" s="245"/>
      <c r="G140" s="28"/>
      <c r="H140" s="138"/>
      <c r="I140" s="92"/>
      <c r="J140" s="245"/>
      <c r="K140" s="245"/>
      <c r="L140" s="35"/>
      <c r="M140" s="92"/>
      <c r="N140" s="85"/>
      <c r="O140" s="35"/>
      <c r="P140" s="92"/>
      <c r="Q140" s="85"/>
      <c r="R140" s="35"/>
      <c r="S140" s="92"/>
      <c r="T140" s="189"/>
      <c r="U140" s="37"/>
      <c r="V140" s="203"/>
      <c r="W140" s="189"/>
      <c r="X140" s="189"/>
      <c r="Y140" s="203"/>
      <c r="Z140" s="189"/>
      <c r="AA140" s="189"/>
      <c r="AB140" s="203"/>
      <c r="AC140" s="198">
        <f>AC143</f>
        <v>0</v>
      </c>
      <c r="AD140" s="198">
        <f t="shared" ref="AD140:AE140" si="163">AD143</f>
        <v>1400000</v>
      </c>
      <c r="AE140" s="314">
        <f t="shared" si="163"/>
        <v>1400000</v>
      </c>
      <c r="AF140" s="198">
        <f>AF143</f>
        <v>0</v>
      </c>
      <c r="AG140" s="198">
        <f t="shared" ref="AG140:AH140" si="164">AG143</f>
        <v>1455908.3</v>
      </c>
      <c r="AH140" s="314">
        <f t="shared" si="164"/>
        <v>1455908.3</v>
      </c>
    </row>
    <row r="141" spans="1:35" ht="24.75" customHeight="1" x14ac:dyDescent="0.3">
      <c r="A141" s="59"/>
      <c r="B141" s="6" t="s">
        <v>23</v>
      </c>
      <c r="C141" s="46"/>
      <c r="D141" s="14"/>
      <c r="E141" s="167"/>
      <c r="F141" s="243"/>
      <c r="G141" s="14"/>
      <c r="H141" s="140"/>
      <c r="I141" s="91"/>
      <c r="J141" s="243"/>
      <c r="K141" s="243"/>
      <c r="L141" s="48"/>
      <c r="M141" s="91"/>
      <c r="N141" s="84"/>
      <c r="O141" s="48"/>
      <c r="P141" s="91"/>
      <c r="Q141" s="84"/>
      <c r="R141" s="48"/>
      <c r="S141" s="91"/>
      <c r="T141" s="190"/>
      <c r="U141" s="50"/>
      <c r="V141" s="204"/>
      <c r="W141" s="190">
        <f>W142</f>
        <v>0</v>
      </c>
      <c r="X141" s="190">
        <f t="shared" ref="X141:Y141" si="165">X142</f>
        <v>20916.5</v>
      </c>
      <c r="Y141" s="204">
        <f t="shared" si="165"/>
        <v>20916.5</v>
      </c>
      <c r="Z141" s="190">
        <f>Z142</f>
        <v>0</v>
      </c>
      <c r="AA141" s="190">
        <f t="shared" ref="AA141:AB141" si="166">AA142</f>
        <v>25555.199999999997</v>
      </c>
      <c r="AB141" s="204">
        <f t="shared" si="166"/>
        <v>25555.199999999997</v>
      </c>
      <c r="AC141" s="212"/>
      <c r="AD141" s="212"/>
      <c r="AE141" s="224"/>
      <c r="AF141" s="212"/>
      <c r="AG141" s="228"/>
      <c r="AH141" s="96"/>
    </row>
    <row r="142" spans="1:35" ht="24.75" customHeight="1" x14ac:dyDescent="0.3">
      <c r="A142" s="59"/>
      <c r="B142" s="6" t="s">
        <v>35</v>
      </c>
      <c r="C142" s="46"/>
      <c r="D142" s="14"/>
      <c r="E142" s="167"/>
      <c r="F142" s="243"/>
      <c r="G142" s="14"/>
      <c r="H142" s="140"/>
      <c r="I142" s="91"/>
      <c r="J142" s="243"/>
      <c r="K142" s="243"/>
      <c r="L142" s="48"/>
      <c r="M142" s="91"/>
      <c r="N142" s="84"/>
      <c r="O142" s="48"/>
      <c r="P142" s="91"/>
      <c r="Q142" s="84"/>
      <c r="R142" s="48"/>
      <c r="S142" s="91"/>
      <c r="T142" s="190"/>
      <c r="U142" s="50"/>
      <c r="V142" s="204"/>
      <c r="W142" s="190"/>
      <c r="X142" s="190">
        <v>20916.5</v>
      </c>
      <c r="Y142" s="204">
        <f>W142+X142</f>
        <v>20916.5</v>
      </c>
      <c r="Z142" s="190"/>
      <c r="AA142" s="190">
        <f>25353.6+201.6</f>
        <v>25555.199999999997</v>
      </c>
      <c r="AB142" s="204">
        <f>Z142+AA142</f>
        <v>25555.199999999997</v>
      </c>
      <c r="AC142" s="212"/>
      <c r="AD142" s="212"/>
      <c r="AE142" s="224"/>
      <c r="AF142" s="212"/>
      <c r="AG142" s="228"/>
      <c r="AH142" s="96"/>
    </row>
    <row r="143" spans="1:35" ht="24.75" customHeight="1" x14ac:dyDescent="0.3">
      <c r="A143" s="59"/>
      <c r="B143" s="6" t="s">
        <v>44</v>
      </c>
      <c r="C143" s="46"/>
      <c r="D143" s="14"/>
      <c r="E143" s="167"/>
      <c r="F143" s="243"/>
      <c r="G143" s="14"/>
      <c r="H143" s="140"/>
      <c r="I143" s="91"/>
      <c r="J143" s="243"/>
      <c r="K143" s="243"/>
      <c r="L143" s="48"/>
      <c r="M143" s="91"/>
      <c r="N143" s="84"/>
      <c r="O143" s="48"/>
      <c r="P143" s="91"/>
      <c r="Q143" s="84"/>
      <c r="R143" s="48"/>
      <c r="S143" s="91"/>
      <c r="T143" s="190"/>
      <c r="U143" s="50"/>
      <c r="V143" s="204"/>
      <c r="W143" s="190"/>
      <c r="X143" s="190"/>
      <c r="Y143" s="204"/>
      <c r="Z143" s="190"/>
      <c r="AA143" s="190"/>
      <c r="AB143" s="204"/>
      <c r="AC143" s="212"/>
      <c r="AD143" s="212">
        <v>1400000</v>
      </c>
      <c r="AE143" s="224">
        <f>AC143+AD143</f>
        <v>1400000</v>
      </c>
      <c r="AF143" s="212"/>
      <c r="AG143" s="303">
        <v>1455908.3</v>
      </c>
      <c r="AH143" s="261">
        <f>AF143+AG143</f>
        <v>1455908.3</v>
      </c>
    </row>
    <row r="144" spans="1:35" ht="94.5" customHeight="1" x14ac:dyDescent="0.3">
      <c r="A144" s="60"/>
      <c r="B144" s="293" t="s">
        <v>111</v>
      </c>
      <c r="C144" s="46"/>
      <c r="D144" s="14">
        <v>2022</v>
      </c>
      <c r="E144" s="167"/>
      <c r="F144" s="297">
        <v>104.79</v>
      </c>
      <c r="G144" s="14"/>
      <c r="H144" s="140"/>
      <c r="I144" s="91">
        <v>377279</v>
      </c>
      <c r="J144" s="243"/>
      <c r="K144" s="243"/>
      <c r="L144" s="48"/>
      <c r="M144" s="91"/>
      <c r="N144" s="84"/>
      <c r="O144" s="48"/>
      <c r="P144" s="91"/>
      <c r="Q144" s="84"/>
      <c r="R144" s="48">
        <f>R145+R146</f>
        <v>10479</v>
      </c>
      <c r="S144" s="91">
        <f>S145+S146</f>
        <v>10479</v>
      </c>
      <c r="T144" s="190"/>
      <c r="U144" s="50">
        <f>U145+U146</f>
        <v>366800</v>
      </c>
      <c r="V144" s="204">
        <f>V145+V146</f>
        <v>366800</v>
      </c>
      <c r="W144" s="190"/>
      <c r="X144" s="190"/>
      <c r="Y144" s="204"/>
      <c r="Z144" s="190"/>
      <c r="AA144" s="190"/>
      <c r="AB144" s="204"/>
      <c r="AC144" s="212"/>
      <c r="AD144" s="212"/>
      <c r="AE144" s="224"/>
      <c r="AF144" s="212"/>
      <c r="AG144" s="228"/>
      <c r="AH144" s="96"/>
      <c r="AI144" s="40">
        <f>I144-S144-V144</f>
        <v>0</v>
      </c>
    </row>
    <row r="145" spans="1:35" ht="24.75" customHeight="1" x14ac:dyDescent="0.3">
      <c r="A145" s="59"/>
      <c r="B145" s="26" t="s">
        <v>22</v>
      </c>
      <c r="C145" s="33"/>
      <c r="D145" s="28"/>
      <c r="E145" s="19"/>
      <c r="F145" s="245"/>
      <c r="G145" s="28"/>
      <c r="H145" s="138"/>
      <c r="I145" s="92"/>
      <c r="J145" s="245"/>
      <c r="K145" s="245"/>
      <c r="L145" s="35"/>
      <c r="M145" s="92"/>
      <c r="N145" s="85"/>
      <c r="O145" s="35"/>
      <c r="P145" s="92"/>
      <c r="Q145" s="85"/>
      <c r="R145" s="35">
        <f>R147+R148</f>
        <v>10479</v>
      </c>
      <c r="S145" s="92">
        <f>S147+S148</f>
        <v>10479</v>
      </c>
      <c r="T145" s="189"/>
      <c r="U145" s="37">
        <f>U147+U148</f>
        <v>366800</v>
      </c>
      <c r="V145" s="203">
        <f>V147+V148</f>
        <v>366800</v>
      </c>
      <c r="W145" s="189"/>
      <c r="X145" s="189"/>
      <c r="Y145" s="203"/>
      <c r="Z145" s="189"/>
      <c r="AA145" s="189"/>
      <c r="AB145" s="203"/>
      <c r="AC145" s="198"/>
      <c r="AD145" s="198"/>
      <c r="AE145" s="216"/>
      <c r="AF145" s="198"/>
      <c r="AG145" s="227"/>
      <c r="AH145" s="235"/>
    </row>
    <row r="146" spans="1:35" ht="24.75" customHeight="1" x14ac:dyDescent="0.3">
      <c r="A146" s="59"/>
      <c r="B146" s="6" t="s">
        <v>23</v>
      </c>
      <c r="C146" s="46"/>
      <c r="D146" s="14"/>
      <c r="E146" s="167"/>
      <c r="F146" s="243"/>
      <c r="G146" s="14"/>
      <c r="H146" s="140"/>
      <c r="I146" s="91"/>
      <c r="J146" s="243"/>
      <c r="K146" s="243"/>
      <c r="L146" s="48"/>
      <c r="M146" s="91"/>
      <c r="N146" s="84"/>
      <c r="O146" s="48"/>
      <c r="P146" s="91"/>
      <c r="Q146" s="84"/>
      <c r="R146" s="48"/>
      <c r="S146" s="91"/>
      <c r="T146" s="190"/>
      <c r="U146" s="50"/>
      <c r="V146" s="204"/>
      <c r="W146" s="190"/>
      <c r="X146" s="190"/>
      <c r="Y146" s="204"/>
      <c r="Z146" s="190"/>
      <c r="AA146" s="190"/>
      <c r="AB146" s="204"/>
      <c r="AC146" s="212"/>
      <c r="AD146" s="212"/>
      <c r="AE146" s="224"/>
      <c r="AF146" s="212"/>
      <c r="AG146" s="228"/>
      <c r="AH146" s="96"/>
    </row>
    <row r="147" spans="1:35" ht="24.75" customHeight="1" x14ac:dyDescent="0.3">
      <c r="A147" s="59"/>
      <c r="B147" s="6" t="s">
        <v>35</v>
      </c>
      <c r="C147" s="46"/>
      <c r="D147" s="14"/>
      <c r="E147" s="167"/>
      <c r="F147" s="243"/>
      <c r="G147" s="14"/>
      <c r="H147" s="140"/>
      <c r="I147" s="91"/>
      <c r="J147" s="243"/>
      <c r="K147" s="243"/>
      <c r="L147" s="48"/>
      <c r="M147" s="91"/>
      <c r="N147" s="84"/>
      <c r="O147" s="48"/>
      <c r="P147" s="91"/>
      <c r="Q147" s="84"/>
      <c r="R147" s="48">
        <v>10479</v>
      </c>
      <c r="S147" s="91">
        <f>Q147+R147</f>
        <v>10479</v>
      </c>
      <c r="T147" s="190"/>
      <c r="U147" s="50"/>
      <c r="V147" s="204"/>
      <c r="W147" s="190"/>
      <c r="X147" s="190"/>
      <c r="Y147" s="204"/>
      <c r="Z147" s="190"/>
      <c r="AA147" s="190"/>
      <c r="AB147" s="204"/>
      <c r="AC147" s="212"/>
      <c r="AD147" s="212"/>
      <c r="AE147" s="224"/>
      <c r="AF147" s="212"/>
      <c r="AG147" s="228"/>
      <c r="AH147" s="96"/>
    </row>
    <row r="148" spans="1:35" ht="24.75" customHeight="1" x14ac:dyDescent="0.3">
      <c r="A148" s="59"/>
      <c r="B148" s="6" t="s">
        <v>44</v>
      </c>
      <c r="C148" s="46"/>
      <c r="D148" s="14"/>
      <c r="E148" s="167"/>
      <c r="F148" s="243"/>
      <c r="G148" s="14"/>
      <c r="H148" s="140"/>
      <c r="I148" s="91"/>
      <c r="J148" s="243"/>
      <c r="K148" s="243"/>
      <c r="L148" s="48"/>
      <c r="M148" s="91"/>
      <c r="N148" s="84"/>
      <c r="O148" s="48"/>
      <c r="P148" s="91"/>
      <c r="Q148" s="84"/>
      <c r="R148" s="48"/>
      <c r="S148" s="91"/>
      <c r="T148" s="190"/>
      <c r="U148" s="50">
        <v>366800</v>
      </c>
      <c r="V148" s="204">
        <f>T148+U148</f>
        <v>366800</v>
      </c>
      <c r="W148" s="190"/>
      <c r="X148" s="190"/>
      <c r="Y148" s="204"/>
      <c r="Z148" s="190"/>
      <c r="AA148" s="190"/>
      <c r="AB148" s="204"/>
      <c r="AC148" s="212"/>
      <c r="AD148" s="212"/>
      <c r="AE148" s="224"/>
      <c r="AF148" s="212"/>
      <c r="AG148" s="228"/>
      <c r="AH148" s="96"/>
    </row>
    <row r="149" spans="1:35" ht="92.25" customHeight="1" x14ac:dyDescent="0.3">
      <c r="A149" s="60"/>
      <c r="B149" s="293" t="s">
        <v>110</v>
      </c>
      <c r="C149" s="46"/>
      <c r="D149" s="14">
        <v>2022</v>
      </c>
      <c r="E149" s="167"/>
      <c r="F149" s="297">
        <v>354.5</v>
      </c>
      <c r="G149" s="14"/>
      <c r="H149" s="140"/>
      <c r="I149" s="91">
        <v>1276250</v>
      </c>
      <c r="J149" s="243"/>
      <c r="K149" s="243"/>
      <c r="L149" s="48"/>
      <c r="M149" s="91"/>
      <c r="N149" s="84"/>
      <c r="O149" s="48"/>
      <c r="P149" s="91"/>
      <c r="Q149" s="84"/>
      <c r="R149" s="48">
        <f>R150+R151</f>
        <v>35450</v>
      </c>
      <c r="S149" s="91">
        <f>S150+S151</f>
        <v>35450</v>
      </c>
      <c r="T149" s="190"/>
      <c r="U149" s="50">
        <f>U150+U151</f>
        <v>1240800</v>
      </c>
      <c r="V149" s="204">
        <f>V150+V151</f>
        <v>1240800</v>
      </c>
      <c r="W149" s="190"/>
      <c r="X149" s="190"/>
      <c r="Y149" s="204"/>
      <c r="Z149" s="190"/>
      <c r="AA149" s="190"/>
      <c r="AB149" s="204"/>
      <c r="AC149" s="212"/>
      <c r="AD149" s="212"/>
      <c r="AE149" s="224"/>
      <c r="AF149" s="212"/>
      <c r="AG149" s="228"/>
      <c r="AH149" s="96"/>
      <c r="AI149" s="40">
        <f>I149-M149-P149-S149-V149</f>
        <v>0</v>
      </c>
    </row>
    <row r="150" spans="1:35" ht="24.75" customHeight="1" x14ac:dyDescent="0.3">
      <c r="A150" s="59"/>
      <c r="B150" s="26" t="s">
        <v>22</v>
      </c>
      <c r="C150" s="33"/>
      <c r="D150" s="28"/>
      <c r="E150" s="19"/>
      <c r="F150" s="298"/>
      <c r="G150" s="28"/>
      <c r="H150" s="138"/>
      <c r="I150" s="92"/>
      <c r="J150" s="245"/>
      <c r="K150" s="245"/>
      <c r="L150" s="35"/>
      <c r="M150" s="92"/>
      <c r="N150" s="85"/>
      <c r="O150" s="35"/>
      <c r="P150" s="92"/>
      <c r="Q150" s="85"/>
      <c r="R150" s="35">
        <f>R152+R153</f>
        <v>35450</v>
      </c>
      <c r="S150" s="92">
        <f>S152+S153</f>
        <v>35450</v>
      </c>
      <c r="T150" s="189"/>
      <c r="U150" s="37">
        <f>U152+U153</f>
        <v>1240800</v>
      </c>
      <c r="V150" s="203">
        <f>V152+V153</f>
        <v>1240800</v>
      </c>
      <c r="W150" s="189"/>
      <c r="X150" s="189"/>
      <c r="Y150" s="203"/>
      <c r="Z150" s="189"/>
      <c r="AA150" s="189"/>
      <c r="AB150" s="203"/>
      <c r="AC150" s="198"/>
      <c r="AD150" s="198"/>
      <c r="AE150" s="216"/>
      <c r="AF150" s="198"/>
      <c r="AG150" s="227"/>
      <c r="AH150" s="235"/>
    </row>
    <row r="151" spans="1:35" ht="24.75" customHeight="1" x14ac:dyDescent="0.3">
      <c r="A151" s="59"/>
      <c r="B151" s="6" t="s">
        <v>23</v>
      </c>
      <c r="C151" s="46"/>
      <c r="D151" s="14"/>
      <c r="E151" s="167"/>
      <c r="F151" s="243"/>
      <c r="G151" s="14"/>
      <c r="H151" s="140"/>
      <c r="I151" s="91"/>
      <c r="J151" s="243"/>
      <c r="K151" s="243"/>
      <c r="L151" s="48"/>
      <c r="M151" s="91"/>
      <c r="N151" s="84"/>
      <c r="O151" s="48"/>
      <c r="P151" s="91"/>
      <c r="Q151" s="84"/>
      <c r="R151" s="48"/>
      <c r="S151" s="91"/>
      <c r="T151" s="190"/>
      <c r="U151" s="50"/>
      <c r="V151" s="204"/>
      <c r="W151" s="190"/>
      <c r="X151" s="190"/>
      <c r="Y151" s="204"/>
      <c r="Z151" s="190"/>
      <c r="AA151" s="190"/>
      <c r="AB151" s="204"/>
      <c r="AC151" s="212"/>
      <c r="AD151" s="212"/>
      <c r="AE151" s="224"/>
      <c r="AF151" s="212"/>
      <c r="AG151" s="228"/>
      <c r="AH151" s="96"/>
    </row>
    <row r="152" spans="1:35" ht="24.75" customHeight="1" x14ac:dyDescent="0.3">
      <c r="A152" s="59"/>
      <c r="B152" s="6" t="s">
        <v>35</v>
      </c>
      <c r="C152" s="46"/>
      <c r="D152" s="14"/>
      <c r="E152" s="167"/>
      <c r="F152" s="243"/>
      <c r="G152" s="14"/>
      <c r="H152" s="140"/>
      <c r="I152" s="91"/>
      <c r="J152" s="243"/>
      <c r="K152" s="243"/>
      <c r="L152" s="48"/>
      <c r="M152" s="91"/>
      <c r="N152" s="84"/>
      <c r="O152" s="48"/>
      <c r="P152" s="91"/>
      <c r="Q152" s="84"/>
      <c r="R152" s="48">
        <v>35450</v>
      </c>
      <c r="S152" s="91">
        <f>Q152+R152</f>
        <v>35450</v>
      </c>
      <c r="T152" s="190"/>
      <c r="U152" s="50"/>
      <c r="V152" s="204"/>
      <c r="W152" s="190"/>
      <c r="X152" s="190"/>
      <c r="Y152" s="204"/>
      <c r="Z152" s="190"/>
      <c r="AA152" s="190"/>
      <c r="AB152" s="204"/>
      <c r="AC152" s="212"/>
      <c r="AD152" s="212"/>
      <c r="AE152" s="224"/>
      <c r="AF152" s="212"/>
      <c r="AG152" s="228"/>
      <c r="AH152" s="96"/>
    </row>
    <row r="153" spans="1:35" ht="24.75" customHeight="1" x14ac:dyDescent="0.3">
      <c r="A153" s="59"/>
      <c r="B153" s="6" t="s">
        <v>44</v>
      </c>
      <c r="C153" s="46"/>
      <c r="D153" s="14"/>
      <c r="E153" s="167"/>
      <c r="F153" s="243"/>
      <c r="G153" s="14"/>
      <c r="H153" s="140"/>
      <c r="I153" s="91"/>
      <c r="J153" s="243"/>
      <c r="K153" s="243"/>
      <c r="L153" s="48"/>
      <c r="M153" s="91"/>
      <c r="N153" s="84"/>
      <c r="O153" s="48"/>
      <c r="P153" s="91"/>
      <c r="Q153" s="84"/>
      <c r="R153" s="48"/>
      <c r="S153" s="91"/>
      <c r="T153" s="190"/>
      <c r="U153" s="50">
        <v>1240800</v>
      </c>
      <c r="V153" s="204">
        <f>T153+U153</f>
        <v>1240800</v>
      </c>
      <c r="W153" s="190"/>
      <c r="X153" s="190"/>
      <c r="Y153" s="204"/>
      <c r="Z153" s="190"/>
      <c r="AA153" s="190"/>
      <c r="AB153" s="204"/>
      <c r="AC153" s="212"/>
      <c r="AD153" s="212"/>
      <c r="AE153" s="224"/>
      <c r="AF153" s="212"/>
      <c r="AG153" s="228"/>
      <c r="AH153" s="96"/>
    </row>
    <row r="154" spans="1:35" ht="97.5" customHeight="1" x14ac:dyDescent="0.3">
      <c r="A154" s="60"/>
      <c r="B154" s="293" t="s">
        <v>109</v>
      </c>
      <c r="C154" s="46"/>
      <c r="D154" s="14">
        <v>2022</v>
      </c>
      <c r="E154" s="167"/>
      <c r="F154" s="297">
        <v>155.46</v>
      </c>
      <c r="G154" s="14"/>
      <c r="H154" s="140"/>
      <c r="I154" s="91">
        <v>559626</v>
      </c>
      <c r="J154" s="243"/>
      <c r="K154" s="243"/>
      <c r="L154" s="48"/>
      <c r="M154" s="91"/>
      <c r="N154" s="84"/>
      <c r="O154" s="48"/>
      <c r="P154" s="91"/>
      <c r="Q154" s="84"/>
      <c r="R154" s="48">
        <f>R155+R156</f>
        <v>15426</v>
      </c>
      <c r="S154" s="91">
        <f>S155+S156</f>
        <v>15426</v>
      </c>
      <c r="T154" s="190"/>
      <c r="U154" s="50">
        <f>U155+U156</f>
        <v>544200</v>
      </c>
      <c r="V154" s="204">
        <f>V155+V156</f>
        <v>544200</v>
      </c>
      <c r="W154" s="190"/>
      <c r="X154" s="190"/>
      <c r="Y154" s="204"/>
      <c r="Z154" s="190"/>
      <c r="AA154" s="190"/>
      <c r="AB154" s="204"/>
      <c r="AC154" s="212"/>
      <c r="AD154" s="212"/>
      <c r="AE154" s="224"/>
      <c r="AF154" s="212"/>
      <c r="AG154" s="228"/>
      <c r="AH154" s="96"/>
      <c r="AI154" s="40">
        <f>I154-S154-V154</f>
        <v>0</v>
      </c>
    </row>
    <row r="155" spans="1:35" ht="24.75" customHeight="1" x14ac:dyDescent="0.3">
      <c r="A155" s="59"/>
      <c r="B155" s="26" t="s">
        <v>22</v>
      </c>
      <c r="C155" s="33"/>
      <c r="D155" s="28"/>
      <c r="E155" s="19"/>
      <c r="F155" s="245"/>
      <c r="G155" s="28"/>
      <c r="H155" s="138"/>
      <c r="I155" s="92"/>
      <c r="J155" s="245"/>
      <c r="K155" s="245"/>
      <c r="L155" s="35"/>
      <c r="M155" s="92"/>
      <c r="N155" s="85"/>
      <c r="O155" s="35"/>
      <c r="P155" s="92"/>
      <c r="Q155" s="85"/>
      <c r="R155" s="35">
        <f>R157+R158</f>
        <v>15426</v>
      </c>
      <c r="S155" s="92">
        <f>S157+S158</f>
        <v>15426</v>
      </c>
      <c r="T155" s="189"/>
      <c r="U155" s="37">
        <f>U157+U158</f>
        <v>544200</v>
      </c>
      <c r="V155" s="203">
        <f>V157+V158</f>
        <v>544200</v>
      </c>
      <c r="W155" s="189"/>
      <c r="X155" s="189"/>
      <c r="Y155" s="203"/>
      <c r="Z155" s="189"/>
      <c r="AA155" s="189"/>
      <c r="AB155" s="203"/>
      <c r="AC155" s="198"/>
      <c r="AD155" s="198"/>
      <c r="AE155" s="216"/>
      <c r="AF155" s="198"/>
      <c r="AG155" s="227"/>
      <c r="AH155" s="235"/>
    </row>
    <row r="156" spans="1:35" ht="24.75" customHeight="1" x14ac:dyDescent="0.3">
      <c r="A156" s="59"/>
      <c r="B156" s="6" t="s">
        <v>23</v>
      </c>
      <c r="C156" s="46"/>
      <c r="D156" s="14"/>
      <c r="E156" s="167"/>
      <c r="F156" s="243"/>
      <c r="G156" s="14"/>
      <c r="H156" s="140"/>
      <c r="I156" s="91"/>
      <c r="J156" s="243"/>
      <c r="K156" s="243"/>
      <c r="L156" s="48"/>
      <c r="M156" s="91"/>
      <c r="N156" s="84"/>
      <c r="O156" s="48"/>
      <c r="P156" s="91"/>
      <c r="Q156" s="84"/>
      <c r="R156" s="48"/>
      <c r="S156" s="91"/>
      <c r="T156" s="190"/>
      <c r="U156" s="50"/>
      <c r="V156" s="204"/>
      <c r="W156" s="190"/>
      <c r="X156" s="190"/>
      <c r="Y156" s="204"/>
      <c r="Z156" s="190"/>
      <c r="AA156" s="190"/>
      <c r="AB156" s="204"/>
      <c r="AC156" s="212"/>
      <c r="AD156" s="212"/>
      <c r="AE156" s="224"/>
      <c r="AF156" s="212"/>
      <c r="AG156" s="228"/>
      <c r="AH156" s="96"/>
    </row>
    <row r="157" spans="1:35" ht="24.75" customHeight="1" x14ac:dyDescent="0.3">
      <c r="A157" s="59"/>
      <c r="B157" s="6" t="s">
        <v>35</v>
      </c>
      <c r="C157" s="46"/>
      <c r="D157" s="14"/>
      <c r="E157" s="167"/>
      <c r="F157" s="243"/>
      <c r="G157" s="14"/>
      <c r="H157" s="140"/>
      <c r="I157" s="91"/>
      <c r="J157" s="243"/>
      <c r="K157" s="243"/>
      <c r="L157" s="48"/>
      <c r="M157" s="91"/>
      <c r="N157" s="84"/>
      <c r="O157" s="48"/>
      <c r="P157" s="91"/>
      <c r="Q157" s="84"/>
      <c r="R157" s="48">
        <v>15426</v>
      </c>
      <c r="S157" s="91">
        <f>Q157+R157</f>
        <v>15426</v>
      </c>
      <c r="T157" s="190"/>
      <c r="U157" s="50"/>
      <c r="V157" s="204"/>
      <c r="W157" s="190"/>
      <c r="X157" s="190"/>
      <c r="Y157" s="204"/>
      <c r="Z157" s="190"/>
      <c r="AA157" s="190"/>
      <c r="AB157" s="204"/>
      <c r="AC157" s="212"/>
      <c r="AD157" s="212"/>
      <c r="AE157" s="224"/>
      <c r="AF157" s="212"/>
      <c r="AG157" s="228"/>
      <c r="AH157" s="96"/>
    </row>
    <row r="158" spans="1:35" ht="24.75" customHeight="1" x14ac:dyDescent="0.3">
      <c r="A158" s="59"/>
      <c r="B158" s="6" t="s">
        <v>44</v>
      </c>
      <c r="C158" s="46"/>
      <c r="D158" s="14"/>
      <c r="E158" s="167"/>
      <c r="F158" s="243"/>
      <c r="G158" s="14"/>
      <c r="H158" s="140"/>
      <c r="I158" s="91"/>
      <c r="J158" s="243"/>
      <c r="K158" s="243"/>
      <c r="L158" s="48"/>
      <c r="M158" s="91"/>
      <c r="N158" s="84"/>
      <c r="O158" s="48"/>
      <c r="P158" s="91"/>
      <c r="Q158" s="84"/>
      <c r="R158" s="48"/>
      <c r="S158" s="91"/>
      <c r="T158" s="190"/>
      <c r="U158" s="50">
        <v>544200</v>
      </c>
      <c r="V158" s="204">
        <f>U158+T158</f>
        <v>544200</v>
      </c>
      <c r="W158" s="190"/>
      <c r="X158" s="190"/>
      <c r="Y158" s="204"/>
      <c r="Z158" s="190"/>
      <c r="AA158" s="190"/>
      <c r="AB158" s="204"/>
      <c r="AC158" s="212"/>
      <c r="AD158" s="212"/>
      <c r="AE158" s="224"/>
      <c r="AF158" s="212"/>
      <c r="AG158" s="228"/>
      <c r="AH158" s="96"/>
    </row>
    <row r="159" spans="1:35" ht="95.25" customHeight="1" x14ac:dyDescent="0.3">
      <c r="A159" s="60"/>
      <c r="B159" s="293" t="s">
        <v>118</v>
      </c>
      <c r="C159" s="46"/>
      <c r="D159" s="14">
        <v>2022</v>
      </c>
      <c r="E159" s="167"/>
      <c r="F159" s="297">
        <v>219.45</v>
      </c>
      <c r="G159" s="14"/>
      <c r="H159" s="140"/>
      <c r="I159" s="91">
        <v>461945</v>
      </c>
      <c r="J159" s="243"/>
      <c r="K159" s="243"/>
      <c r="L159" s="48"/>
      <c r="M159" s="91"/>
      <c r="N159" s="84"/>
      <c r="O159" s="48"/>
      <c r="P159" s="91"/>
      <c r="Q159" s="84"/>
      <c r="R159" s="48">
        <f>R160+R161</f>
        <v>21945</v>
      </c>
      <c r="S159" s="91">
        <f>S160+S161</f>
        <v>21945</v>
      </c>
      <c r="T159" s="190"/>
      <c r="U159" s="50">
        <f>U160+U161</f>
        <v>440000</v>
      </c>
      <c r="V159" s="204">
        <f>V160+V161</f>
        <v>440000</v>
      </c>
      <c r="W159" s="190"/>
      <c r="X159" s="190"/>
      <c r="Y159" s="204"/>
      <c r="Z159" s="190"/>
      <c r="AA159" s="190"/>
      <c r="AB159" s="204"/>
      <c r="AC159" s="212"/>
      <c r="AD159" s="212"/>
      <c r="AE159" s="224"/>
      <c r="AF159" s="212"/>
      <c r="AG159" s="228"/>
      <c r="AH159" s="96"/>
      <c r="AI159" s="40">
        <f>I159-S159-V159</f>
        <v>0</v>
      </c>
    </row>
    <row r="160" spans="1:35" ht="24.75" customHeight="1" x14ac:dyDescent="0.3">
      <c r="A160" s="59"/>
      <c r="B160" s="26" t="s">
        <v>22</v>
      </c>
      <c r="C160" s="33"/>
      <c r="D160" s="28"/>
      <c r="E160" s="19"/>
      <c r="F160" s="245"/>
      <c r="G160" s="28"/>
      <c r="H160" s="138"/>
      <c r="I160" s="92"/>
      <c r="J160" s="245"/>
      <c r="K160" s="245"/>
      <c r="L160" s="35"/>
      <c r="M160" s="92"/>
      <c r="N160" s="85"/>
      <c r="O160" s="35"/>
      <c r="P160" s="92"/>
      <c r="Q160" s="85"/>
      <c r="R160" s="35">
        <f>R162+R163</f>
        <v>21945</v>
      </c>
      <c r="S160" s="92">
        <f>S162+S163</f>
        <v>21945</v>
      </c>
      <c r="T160" s="189"/>
      <c r="U160" s="37">
        <f>U162+U163</f>
        <v>440000</v>
      </c>
      <c r="V160" s="203">
        <f>V162+V163</f>
        <v>440000</v>
      </c>
      <c r="W160" s="189"/>
      <c r="X160" s="189"/>
      <c r="Y160" s="203"/>
      <c r="Z160" s="189"/>
      <c r="AA160" s="189"/>
      <c r="AB160" s="203"/>
      <c r="AC160" s="198"/>
      <c r="AD160" s="198"/>
      <c r="AE160" s="216"/>
      <c r="AF160" s="198"/>
      <c r="AG160" s="227"/>
      <c r="AH160" s="235"/>
    </row>
    <row r="161" spans="1:35" ht="24.75" customHeight="1" x14ac:dyDescent="0.3">
      <c r="A161" s="59"/>
      <c r="B161" s="6" t="s">
        <v>23</v>
      </c>
      <c r="C161" s="46"/>
      <c r="D161" s="14"/>
      <c r="E161" s="167"/>
      <c r="F161" s="243"/>
      <c r="G161" s="14"/>
      <c r="H161" s="140"/>
      <c r="I161" s="91"/>
      <c r="J161" s="243"/>
      <c r="K161" s="243"/>
      <c r="L161" s="48"/>
      <c r="M161" s="91"/>
      <c r="N161" s="84"/>
      <c r="O161" s="48"/>
      <c r="P161" s="91"/>
      <c r="Q161" s="84"/>
      <c r="R161" s="48"/>
      <c r="S161" s="91"/>
      <c r="T161" s="190"/>
      <c r="U161" s="50"/>
      <c r="V161" s="204"/>
      <c r="W161" s="190"/>
      <c r="X161" s="190"/>
      <c r="Y161" s="204"/>
      <c r="Z161" s="190"/>
      <c r="AA161" s="190"/>
      <c r="AB161" s="204"/>
      <c r="AC161" s="212"/>
      <c r="AD161" s="212"/>
      <c r="AE161" s="224"/>
      <c r="AF161" s="212"/>
      <c r="AG161" s="228"/>
      <c r="AH161" s="96"/>
    </row>
    <row r="162" spans="1:35" ht="24.75" customHeight="1" x14ac:dyDescent="0.3">
      <c r="A162" s="59"/>
      <c r="B162" s="6" t="s">
        <v>35</v>
      </c>
      <c r="C162" s="46"/>
      <c r="D162" s="14"/>
      <c r="E162" s="167"/>
      <c r="F162" s="243"/>
      <c r="G162" s="14"/>
      <c r="H162" s="140"/>
      <c r="I162" s="91"/>
      <c r="J162" s="243"/>
      <c r="K162" s="243"/>
      <c r="L162" s="48"/>
      <c r="M162" s="91"/>
      <c r="N162" s="84"/>
      <c r="O162" s="48"/>
      <c r="P162" s="91"/>
      <c r="Q162" s="84"/>
      <c r="R162" s="48">
        <v>21945</v>
      </c>
      <c r="S162" s="91">
        <f>Q162+R162</f>
        <v>21945</v>
      </c>
      <c r="T162" s="190"/>
      <c r="U162" s="50"/>
      <c r="V162" s="204"/>
      <c r="W162" s="190"/>
      <c r="X162" s="190"/>
      <c r="Y162" s="204"/>
      <c r="Z162" s="190"/>
      <c r="AA162" s="190"/>
      <c r="AB162" s="204"/>
      <c r="AC162" s="212"/>
      <c r="AD162" s="212"/>
      <c r="AE162" s="224"/>
      <c r="AF162" s="212"/>
      <c r="AG162" s="228"/>
      <c r="AH162" s="96"/>
    </row>
    <row r="163" spans="1:35" ht="24.75" customHeight="1" x14ac:dyDescent="0.3">
      <c r="A163" s="59"/>
      <c r="B163" s="6" t="s">
        <v>44</v>
      </c>
      <c r="C163" s="46"/>
      <c r="D163" s="14"/>
      <c r="E163" s="167"/>
      <c r="F163" s="243"/>
      <c r="G163" s="14"/>
      <c r="H163" s="140"/>
      <c r="I163" s="91"/>
      <c r="J163" s="243"/>
      <c r="K163" s="243"/>
      <c r="L163" s="48"/>
      <c r="M163" s="91"/>
      <c r="N163" s="84"/>
      <c r="O163" s="48"/>
      <c r="P163" s="91"/>
      <c r="Q163" s="84"/>
      <c r="R163" s="48"/>
      <c r="S163" s="91"/>
      <c r="T163" s="190"/>
      <c r="U163" s="50">
        <v>440000</v>
      </c>
      <c r="V163" s="204">
        <f>T163+U163</f>
        <v>440000</v>
      </c>
      <c r="W163" s="190"/>
      <c r="X163" s="190"/>
      <c r="Y163" s="204"/>
      <c r="Z163" s="190"/>
      <c r="AA163" s="190"/>
      <c r="AB163" s="204"/>
      <c r="AC163" s="212"/>
      <c r="AD163" s="212"/>
      <c r="AE163" s="224"/>
      <c r="AF163" s="212"/>
      <c r="AG163" s="228"/>
      <c r="AH163" s="96"/>
    </row>
    <row r="164" spans="1:35" ht="81" customHeight="1" x14ac:dyDescent="0.3">
      <c r="A164" s="60"/>
      <c r="B164" s="293" t="s">
        <v>112</v>
      </c>
      <c r="C164" s="46"/>
      <c r="D164" s="14">
        <v>2022</v>
      </c>
      <c r="E164" s="167"/>
      <c r="F164" s="297">
        <v>140.71</v>
      </c>
      <c r="G164" s="14"/>
      <c r="H164" s="140"/>
      <c r="I164" s="91">
        <v>8</v>
      </c>
      <c r="J164" s="243"/>
      <c r="K164" s="243"/>
      <c r="L164" s="48"/>
      <c r="M164" s="91"/>
      <c r="N164" s="84"/>
      <c r="O164" s="48"/>
      <c r="P164" s="91"/>
      <c r="Q164" s="84"/>
      <c r="R164" s="48">
        <f>R165+R166</f>
        <v>14500</v>
      </c>
      <c r="S164" s="91">
        <f>S165+S166</f>
        <v>14500</v>
      </c>
      <c r="T164" s="190"/>
      <c r="U164" s="50">
        <f>U165+U166</f>
        <v>600000</v>
      </c>
      <c r="V164" s="204">
        <f>V165+V166</f>
        <v>600000</v>
      </c>
      <c r="W164" s="190"/>
      <c r="X164" s="190"/>
      <c r="Y164" s="204"/>
      <c r="Z164" s="190"/>
      <c r="AA164" s="190"/>
      <c r="AB164" s="204"/>
      <c r="AC164" s="212"/>
      <c r="AD164" s="212"/>
      <c r="AE164" s="224"/>
      <c r="AF164" s="212"/>
      <c r="AG164" s="228"/>
      <c r="AH164" s="96"/>
      <c r="AI164" s="40">
        <f>I164-S164-V164</f>
        <v>-614492</v>
      </c>
    </row>
    <row r="165" spans="1:35" ht="24.75" customHeight="1" x14ac:dyDescent="0.3">
      <c r="A165" s="59"/>
      <c r="B165" s="26" t="s">
        <v>22</v>
      </c>
      <c r="C165" s="33"/>
      <c r="D165" s="28"/>
      <c r="E165" s="19"/>
      <c r="F165" s="245"/>
      <c r="G165" s="28"/>
      <c r="H165" s="138"/>
      <c r="I165" s="92"/>
      <c r="J165" s="245"/>
      <c r="K165" s="245"/>
      <c r="L165" s="35"/>
      <c r="M165" s="92"/>
      <c r="N165" s="85"/>
      <c r="O165" s="35"/>
      <c r="P165" s="92"/>
      <c r="Q165" s="85"/>
      <c r="R165" s="35">
        <f>R167+R168</f>
        <v>14500</v>
      </c>
      <c r="S165" s="92">
        <f>S167+S168</f>
        <v>14500</v>
      </c>
      <c r="T165" s="189"/>
      <c r="U165" s="37">
        <f>U167+U168</f>
        <v>600000</v>
      </c>
      <c r="V165" s="203">
        <f>V167+V168</f>
        <v>600000</v>
      </c>
      <c r="W165" s="189"/>
      <c r="X165" s="189"/>
      <c r="Y165" s="203"/>
      <c r="Z165" s="189"/>
      <c r="AA165" s="189"/>
      <c r="AB165" s="203"/>
      <c r="AC165" s="198"/>
      <c r="AD165" s="198"/>
      <c r="AE165" s="216"/>
      <c r="AF165" s="198"/>
      <c r="AG165" s="227"/>
      <c r="AH165" s="235"/>
    </row>
    <row r="166" spans="1:35" ht="24.75" customHeight="1" x14ac:dyDescent="0.3">
      <c r="A166" s="59"/>
      <c r="B166" s="6" t="s">
        <v>23</v>
      </c>
      <c r="C166" s="46"/>
      <c r="D166" s="14"/>
      <c r="E166" s="167"/>
      <c r="F166" s="243"/>
      <c r="G166" s="14"/>
      <c r="H166" s="140"/>
      <c r="I166" s="91"/>
      <c r="J166" s="243"/>
      <c r="K166" s="243"/>
      <c r="L166" s="48"/>
      <c r="M166" s="91"/>
      <c r="N166" s="84"/>
      <c r="O166" s="48"/>
      <c r="P166" s="91"/>
      <c r="Q166" s="84"/>
      <c r="R166" s="48"/>
      <c r="S166" s="91"/>
      <c r="T166" s="190"/>
      <c r="U166" s="50"/>
      <c r="V166" s="204"/>
      <c r="W166" s="190"/>
      <c r="X166" s="190"/>
      <c r="Y166" s="204"/>
      <c r="Z166" s="190"/>
      <c r="AA166" s="190"/>
      <c r="AB166" s="204"/>
      <c r="AC166" s="212"/>
      <c r="AD166" s="212"/>
      <c r="AE166" s="224"/>
      <c r="AF166" s="212"/>
      <c r="AG166" s="228"/>
      <c r="AH166" s="96"/>
    </row>
    <row r="167" spans="1:35" ht="24.75" customHeight="1" x14ac:dyDescent="0.3">
      <c r="A167" s="59"/>
      <c r="B167" s="6" t="s">
        <v>35</v>
      </c>
      <c r="C167" s="46"/>
      <c r="D167" s="14"/>
      <c r="E167" s="167"/>
      <c r="F167" s="243"/>
      <c r="G167" s="14"/>
      <c r="H167" s="140"/>
      <c r="I167" s="91"/>
      <c r="J167" s="243"/>
      <c r="K167" s="243"/>
      <c r="L167" s="48"/>
      <c r="M167" s="91"/>
      <c r="N167" s="84"/>
      <c r="O167" s="48"/>
      <c r="P167" s="91"/>
      <c r="Q167" s="84"/>
      <c r="R167" s="48">
        <v>14500</v>
      </c>
      <c r="S167" s="91">
        <f>Q167+R167</f>
        <v>14500</v>
      </c>
      <c r="T167" s="190"/>
      <c r="U167" s="50"/>
      <c r="V167" s="204"/>
      <c r="W167" s="190"/>
      <c r="X167" s="190"/>
      <c r="Y167" s="204"/>
      <c r="Z167" s="190"/>
      <c r="AA167" s="190"/>
      <c r="AB167" s="204"/>
      <c r="AC167" s="212"/>
      <c r="AD167" s="212"/>
      <c r="AE167" s="224"/>
      <c r="AF167" s="212"/>
      <c r="AG167" s="228"/>
      <c r="AH167" s="96"/>
    </row>
    <row r="168" spans="1:35" ht="24.75" customHeight="1" x14ac:dyDescent="0.3">
      <c r="A168" s="59"/>
      <c r="B168" s="6" t="s">
        <v>44</v>
      </c>
      <c r="C168" s="46"/>
      <c r="D168" s="14"/>
      <c r="E168" s="167"/>
      <c r="F168" s="243"/>
      <c r="G168" s="14"/>
      <c r="H168" s="140"/>
      <c r="I168" s="91"/>
      <c r="J168" s="243"/>
      <c r="K168" s="243"/>
      <c r="L168" s="48"/>
      <c r="M168" s="91"/>
      <c r="N168" s="84"/>
      <c r="O168" s="48"/>
      <c r="P168" s="91"/>
      <c r="Q168" s="84"/>
      <c r="R168" s="48"/>
      <c r="S168" s="91"/>
      <c r="T168" s="190"/>
      <c r="U168" s="50">
        <v>600000</v>
      </c>
      <c r="V168" s="204">
        <f>T168+U168</f>
        <v>600000</v>
      </c>
      <c r="W168" s="190"/>
      <c r="X168" s="190"/>
      <c r="Y168" s="204"/>
      <c r="Z168" s="190"/>
      <c r="AA168" s="190"/>
      <c r="AB168" s="204"/>
      <c r="AC168" s="212"/>
      <c r="AD168" s="212"/>
      <c r="AE168" s="224"/>
      <c r="AF168" s="212"/>
      <c r="AG168" s="228"/>
      <c r="AH168" s="96"/>
    </row>
    <row r="169" spans="1:35" ht="28.5" hidden="1" customHeight="1" x14ac:dyDescent="0.3">
      <c r="A169" s="59"/>
      <c r="B169" s="42" t="s">
        <v>83</v>
      </c>
      <c r="C169" s="78"/>
      <c r="D169" s="79"/>
      <c r="E169" s="79"/>
      <c r="F169" s="81"/>
      <c r="G169" s="79"/>
      <c r="H169" s="144"/>
      <c r="I169" s="94"/>
      <c r="J169" s="86"/>
      <c r="K169" s="82"/>
      <c r="L169" s="80"/>
      <c r="M169" s="94">
        <v>0</v>
      </c>
      <c r="N169" s="86"/>
      <c r="O169" s="80"/>
      <c r="P169" s="94">
        <f t="shared" si="142"/>
        <v>0</v>
      </c>
      <c r="Q169" s="309">
        <f>28641.6+450000</f>
        <v>478641.6</v>
      </c>
      <c r="R169" s="160">
        <v>-478641.6</v>
      </c>
      <c r="S169" s="94">
        <f t="shared" si="143"/>
        <v>0</v>
      </c>
      <c r="T169" s="195"/>
      <c r="U169" s="119"/>
      <c r="V169" s="210"/>
      <c r="W169" s="194"/>
      <c r="X169" s="117"/>
      <c r="Y169" s="209">
        <f t="shared" ref="Y169" si="167">W169+X169</f>
        <v>0</v>
      </c>
      <c r="Z169" s="214"/>
      <c r="AA169" s="118"/>
      <c r="AB169" s="209">
        <f t="shared" ref="AB169" si="168">Z169+AA169</f>
        <v>0</v>
      </c>
      <c r="AC169" s="214"/>
      <c r="AD169" s="118"/>
      <c r="AE169" s="210">
        <f t="shared" ref="AE169" si="169">AC169+AD169</f>
        <v>0</v>
      </c>
      <c r="AF169" s="214"/>
      <c r="AG169" s="270"/>
      <c r="AH169" s="271">
        <f t="shared" ref="AH169" si="170">AF169+AG169</f>
        <v>0</v>
      </c>
    </row>
    <row r="170" spans="1:35" ht="49.5" customHeight="1" x14ac:dyDescent="0.3">
      <c r="A170" s="59"/>
      <c r="B170" s="22" t="s">
        <v>37</v>
      </c>
      <c r="C170" s="2"/>
      <c r="D170" s="2"/>
      <c r="E170" s="2"/>
      <c r="F170" s="2"/>
      <c r="G170" s="2"/>
      <c r="H170" s="145"/>
      <c r="I170" s="96"/>
      <c r="J170" s="87"/>
      <c r="K170" s="2"/>
      <c r="L170" s="2"/>
      <c r="M170" s="184">
        <v>0</v>
      </c>
      <c r="N170" s="112">
        <v>9430</v>
      </c>
      <c r="O170" s="112"/>
      <c r="P170" s="184">
        <f>N170+O170</f>
        <v>9430</v>
      </c>
      <c r="Q170" s="178">
        <f>31410.3-29-20000-9430</f>
        <v>1951.2999999999993</v>
      </c>
      <c r="R170" s="112">
        <v>-1951.3</v>
      </c>
      <c r="S170" s="184">
        <f>Q170+R170</f>
        <v>0</v>
      </c>
      <c r="T170" s="178">
        <v>30040</v>
      </c>
      <c r="U170" s="112">
        <v>-2522.3000000000002</v>
      </c>
      <c r="V170" s="184">
        <f>T170+U170</f>
        <v>27517.7</v>
      </c>
      <c r="W170" s="178">
        <v>30000</v>
      </c>
      <c r="X170" s="112"/>
      <c r="Y170" s="184">
        <f>W170+X170</f>
        <v>30000</v>
      </c>
      <c r="Z170" s="178">
        <v>30000</v>
      </c>
      <c r="AA170" s="112"/>
      <c r="AB170" s="184">
        <f>Z170+AA170</f>
        <v>30000</v>
      </c>
      <c r="AC170" s="178">
        <v>30000</v>
      </c>
      <c r="AD170" s="112"/>
      <c r="AE170" s="184">
        <f>AC170+AD170</f>
        <v>30000</v>
      </c>
      <c r="AF170" s="178">
        <v>30000</v>
      </c>
      <c r="AG170" s="2"/>
      <c r="AH170" s="184">
        <f>AF170+AG170</f>
        <v>30000</v>
      </c>
    </row>
    <row r="171" spans="1:35" x14ac:dyDescent="0.3">
      <c r="B171" s="21"/>
    </row>
    <row r="172" spans="1:35" ht="18" x14ac:dyDescent="0.35">
      <c r="A172" s="337" t="s">
        <v>28</v>
      </c>
      <c r="B172" s="337"/>
      <c r="C172" s="337"/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337"/>
      <c r="P172" s="337"/>
      <c r="Q172" s="337" t="s">
        <v>106</v>
      </c>
    </row>
  </sheetData>
  <mergeCells count="13">
    <mergeCell ref="J6:L6"/>
    <mergeCell ref="M6:AH6"/>
    <mergeCell ref="J14:J16"/>
    <mergeCell ref="A3:T3"/>
    <mergeCell ref="A4:T4"/>
    <mergeCell ref="A6:A7"/>
    <mergeCell ref="B6:B7"/>
    <mergeCell ref="C6:C7"/>
    <mergeCell ref="D6:D7"/>
    <mergeCell ref="E6:F6"/>
    <mergeCell ref="G6:G7"/>
    <mergeCell ref="H6:H7"/>
    <mergeCell ref="I6:I7"/>
  </mergeCells>
  <pageMargins left="0.47244094488188981" right="0.19685039370078741" top="0.19685039370078741" bottom="0.19685039370078741" header="0.11811023622047245" footer="0.11811023622047245"/>
  <pageSetup paperSize="8" scale="57" fitToHeight="10" orientation="landscape" r:id="rId1"/>
  <headerFooter>
    <oddFooter>&amp;L&amp;8&amp;Z&amp;F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2"/>
  <sheetViews>
    <sheetView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P16" sqref="P16"/>
    </sheetView>
  </sheetViews>
  <sheetFormatPr defaultRowHeight="14.4" outlineLevelRow="1" x14ac:dyDescent="0.3"/>
  <cols>
    <col min="1" max="1" width="4.6640625" customWidth="1"/>
    <col min="2" max="2" width="29.88671875" customWidth="1"/>
    <col min="3" max="3" width="16.109375" hidden="1" customWidth="1"/>
    <col min="4" max="4" width="7.44140625" customWidth="1"/>
    <col min="6" max="6" width="9.88671875" customWidth="1"/>
    <col min="7" max="7" width="11.5546875" hidden="1" customWidth="1"/>
    <col min="8" max="8" width="12.5546875" hidden="1" customWidth="1"/>
    <col min="9" max="9" width="13.88671875" customWidth="1"/>
    <col min="10" max="10" width="9.6640625" hidden="1" customWidth="1"/>
    <col min="11" max="11" width="9.44140625" hidden="1" customWidth="1"/>
    <col min="12" max="12" width="15" hidden="1" customWidth="1"/>
    <col min="13" max="13" width="12.6640625" customWidth="1"/>
    <col min="14" max="14" width="13" customWidth="1"/>
    <col min="15" max="15" width="12.44140625" customWidth="1"/>
    <col min="16" max="16" width="11.109375" customWidth="1"/>
    <col min="17" max="17" width="13.33203125" customWidth="1"/>
    <col min="18" max="18" width="14.44140625" customWidth="1"/>
    <col min="19" max="19" width="12.109375" customWidth="1"/>
    <col min="20" max="22" width="12.6640625" customWidth="1"/>
    <col min="23" max="23" width="13" customWidth="1"/>
    <col min="24" max="24" width="12.44140625" customWidth="1"/>
    <col min="25" max="25" width="13" customWidth="1"/>
    <col min="26" max="26" width="12.33203125" customWidth="1"/>
    <col min="27" max="28" width="13.109375" customWidth="1"/>
    <col min="29" max="29" width="12.33203125" customWidth="1"/>
    <col min="30" max="30" width="12.5546875" customWidth="1"/>
    <col min="31" max="31" width="13" customWidth="1"/>
    <col min="32" max="32" width="12.6640625" customWidth="1"/>
    <col min="33" max="33" width="12.5546875" customWidth="1"/>
    <col min="34" max="34" width="12.88671875" customWidth="1"/>
    <col min="35" max="35" width="15.109375" customWidth="1"/>
    <col min="36" max="36" width="12.6640625" customWidth="1"/>
  </cols>
  <sheetData>
    <row r="1" spans="1:36" ht="18" x14ac:dyDescent="0.3">
      <c r="M1" s="41"/>
      <c r="N1" s="24"/>
      <c r="O1" s="24"/>
      <c r="P1" s="24"/>
      <c r="Q1" s="25" t="s">
        <v>30</v>
      </c>
      <c r="R1" s="25"/>
      <c r="S1" s="25"/>
    </row>
    <row r="2" spans="1:36" ht="18" x14ac:dyDescent="0.35">
      <c r="N2" s="23"/>
      <c r="O2" s="23"/>
      <c r="P2" s="23"/>
      <c r="Q2" s="1" t="s">
        <v>31</v>
      </c>
      <c r="R2" s="1"/>
      <c r="S2" s="1"/>
    </row>
    <row r="3" spans="1:36" ht="18" x14ac:dyDescent="0.35">
      <c r="A3" s="390" t="s">
        <v>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50"/>
      <c r="V3" s="350"/>
    </row>
    <row r="4" spans="1:36" ht="39.75" customHeight="1" x14ac:dyDescent="0.3">
      <c r="A4" s="391" t="s">
        <v>93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51"/>
      <c r="V4" s="351"/>
    </row>
    <row r="5" spans="1:36" ht="13.5" customHeight="1" x14ac:dyDescent="0.35">
      <c r="A5" s="1"/>
      <c r="N5" s="122" t="s">
        <v>119</v>
      </c>
      <c r="AH5" t="s">
        <v>107</v>
      </c>
    </row>
    <row r="6" spans="1:36" ht="45.75" customHeight="1" x14ac:dyDescent="0.3">
      <c r="A6" s="392" t="s">
        <v>3</v>
      </c>
      <c r="B6" s="386" t="s">
        <v>1</v>
      </c>
      <c r="C6" s="386" t="s">
        <v>2</v>
      </c>
      <c r="D6" s="386" t="s">
        <v>4</v>
      </c>
      <c r="E6" s="386" t="s">
        <v>5</v>
      </c>
      <c r="F6" s="386"/>
      <c r="G6" s="394" t="s">
        <v>29</v>
      </c>
      <c r="H6" s="394" t="s">
        <v>63</v>
      </c>
      <c r="I6" s="396" t="s">
        <v>7</v>
      </c>
      <c r="J6" s="385" t="s">
        <v>8</v>
      </c>
      <c r="K6" s="386"/>
      <c r="L6" s="386"/>
      <c r="M6" s="386" t="s">
        <v>85</v>
      </c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294"/>
      <c r="AJ6" s="294"/>
    </row>
    <row r="7" spans="1:36" ht="90.75" customHeight="1" x14ac:dyDescent="0.3">
      <c r="A7" s="393"/>
      <c r="B7" s="386"/>
      <c r="C7" s="386"/>
      <c r="D7" s="386"/>
      <c r="E7" s="348" t="s">
        <v>6</v>
      </c>
      <c r="F7" s="348" t="s">
        <v>19</v>
      </c>
      <c r="G7" s="395"/>
      <c r="H7" s="395"/>
      <c r="I7" s="396"/>
      <c r="J7" s="347" t="s">
        <v>6</v>
      </c>
      <c r="K7" s="348" t="s">
        <v>9</v>
      </c>
      <c r="L7" s="348" t="s">
        <v>10</v>
      </c>
      <c r="M7" s="171" t="s">
        <v>43</v>
      </c>
      <c r="N7" s="347" t="s">
        <v>11</v>
      </c>
      <c r="O7" s="14" t="s">
        <v>33</v>
      </c>
      <c r="P7" s="171" t="s">
        <v>46</v>
      </c>
      <c r="Q7" s="347" t="s">
        <v>12</v>
      </c>
      <c r="R7" s="14" t="s">
        <v>33</v>
      </c>
      <c r="S7" s="171" t="s">
        <v>53</v>
      </c>
      <c r="T7" s="347" t="s">
        <v>13</v>
      </c>
      <c r="U7" s="14" t="s">
        <v>33</v>
      </c>
      <c r="V7" s="171" t="s">
        <v>73</v>
      </c>
      <c r="W7" s="347" t="s">
        <v>40</v>
      </c>
      <c r="X7" s="14" t="s">
        <v>33</v>
      </c>
      <c r="Y7" s="171" t="s">
        <v>74</v>
      </c>
      <c r="Z7" s="347" t="s">
        <v>41</v>
      </c>
      <c r="AA7" s="14" t="s">
        <v>33</v>
      </c>
      <c r="AB7" s="171" t="s">
        <v>75</v>
      </c>
      <c r="AC7" s="347" t="s">
        <v>42</v>
      </c>
      <c r="AD7" s="14" t="s">
        <v>33</v>
      </c>
      <c r="AE7" s="171" t="s">
        <v>76</v>
      </c>
      <c r="AF7" s="172" t="s">
        <v>45</v>
      </c>
      <c r="AG7" s="14" t="s">
        <v>33</v>
      </c>
      <c r="AH7" s="171" t="s">
        <v>77</v>
      </c>
    </row>
    <row r="8" spans="1:36" ht="30.75" customHeight="1" x14ac:dyDescent="0.3">
      <c r="A8" s="2"/>
      <c r="B8" s="3" t="s">
        <v>34</v>
      </c>
      <c r="C8" s="4"/>
      <c r="D8" s="5"/>
      <c r="E8" s="11">
        <f>SUM(E14:E168)</f>
        <v>326.23700000000002</v>
      </c>
      <c r="F8" s="11">
        <f>SUM(F14:F168)</f>
        <v>2626.57</v>
      </c>
      <c r="G8" s="11">
        <f>SUM(G14:G168)</f>
        <v>20.720400000000001</v>
      </c>
      <c r="H8" s="135"/>
      <c r="I8" s="88">
        <f>SUM(I14:I168)</f>
        <v>54734484.467999995</v>
      </c>
      <c r="J8" s="83" t="e">
        <f>SUM(J14:J168)+#REF!</f>
        <v>#REF!</v>
      </c>
      <c r="K8" s="11" t="e">
        <f>SUM(K14:K168)+#REF!</f>
        <v>#REF!</v>
      </c>
      <c r="L8" s="11" t="e">
        <f>#REF!+L14+#REF!+L19+#REF!+L24+#REF!+#REF!+#REF!+#REF!+#REF!+#REF!+#REF!+#REF!+#REF!+#REF!+#REF!+#REF!+#REF!+#REF!+#REF!+#REF!+#REF!+#REF!+#REF!+#REF!+#REF!+#REF!+#REF!+#REF!+#REF!+#REF!+#REF!+#REF!+L124+L129+#REF!+#REF!+#REF!+L170</f>
        <v>#REF!</v>
      </c>
      <c r="M8" s="179">
        <f>M11+M12</f>
        <v>414849.9</v>
      </c>
      <c r="N8" s="306">
        <f t="shared" ref="N8:AH8" si="0">N11+N12</f>
        <v>374363.2</v>
      </c>
      <c r="O8" s="71">
        <f t="shared" si="0"/>
        <v>-38346.199999999997</v>
      </c>
      <c r="P8" s="307">
        <f t="shared" si="0"/>
        <v>336017</v>
      </c>
      <c r="Q8" s="308">
        <f t="shared" si="0"/>
        <v>1103974.2</v>
      </c>
      <c r="R8" s="71">
        <f t="shared" si="0"/>
        <v>473190.89999999997</v>
      </c>
      <c r="S8" s="307">
        <f t="shared" si="0"/>
        <v>1577165.1</v>
      </c>
      <c r="T8" s="308">
        <f t="shared" si="0"/>
        <v>1634718</v>
      </c>
      <c r="U8" s="71">
        <f t="shared" si="0"/>
        <v>1772153.8</v>
      </c>
      <c r="V8" s="307">
        <f t="shared" si="0"/>
        <v>3406871.8000000003</v>
      </c>
      <c r="W8" s="308">
        <f t="shared" si="0"/>
        <v>7353775.5</v>
      </c>
      <c r="X8" s="71">
        <f t="shared" si="0"/>
        <v>1626384</v>
      </c>
      <c r="Y8" s="307">
        <f t="shared" si="0"/>
        <v>8980159.5</v>
      </c>
      <c r="Z8" s="308">
        <f t="shared" si="0"/>
        <v>9286296.5999999996</v>
      </c>
      <c r="AA8" s="71">
        <f t="shared" si="0"/>
        <v>-1432669.6</v>
      </c>
      <c r="AB8" s="307">
        <f t="shared" si="0"/>
        <v>7853627</v>
      </c>
      <c r="AC8" s="308">
        <f t="shared" si="0"/>
        <v>7353392.5999999996</v>
      </c>
      <c r="AD8" s="71">
        <f t="shared" si="0"/>
        <v>3743698.7</v>
      </c>
      <c r="AE8" s="307">
        <f t="shared" si="0"/>
        <v>11097091.299999999</v>
      </c>
      <c r="AF8" s="308">
        <f t="shared" si="0"/>
        <v>7749041.5</v>
      </c>
      <c r="AG8" s="71">
        <f t="shared" si="0"/>
        <v>11863005</v>
      </c>
      <c r="AH8" s="307">
        <f t="shared" si="0"/>
        <v>19612046.5</v>
      </c>
    </row>
    <row r="9" spans="1:36" ht="27.75" hidden="1" customHeight="1" outlineLevel="1" x14ac:dyDescent="0.3">
      <c r="A9" s="2"/>
      <c r="B9" s="39" t="s">
        <v>95</v>
      </c>
      <c r="C9" s="4"/>
      <c r="D9" s="5"/>
      <c r="E9" s="11"/>
      <c r="F9" s="11"/>
      <c r="G9" s="11"/>
      <c r="H9" s="135"/>
      <c r="I9" s="88"/>
      <c r="J9" s="83"/>
      <c r="K9" s="11"/>
      <c r="L9" s="11"/>
      <c r="M9" s="179">
        <f>M10+M11</f>
        <v>0</v>
      </c>
      <c r="N9" s="174">
        <f>N10+N11</f>
        <v>121801.5</v>
      </c>
      <c r="O9" s="174">
        <f t="shared" ref="O9:P9" si="1">O10+O11</f>
        <v>-21801.5</v>
      </c>
      <c r="P9" s="179">
        <f t="shared" si="1"/>
        <v>100000</v>
      </c>
      <c r="Q9" s="174">
        <f>Q10+Q11</f>
        <v>1447800</v>
      </c>
      <c r="R9" s="174">
        <f t="shared" ref="R9:S9" si="2">R10+R11</f>
        <v>-75998.5</v>
      </c>
      <c r="S9" s="179">
        <f t="shared" si="2"/>
        <v>1371801.5</v>
      </c>
      <c r="T9" s="174">
        <f>T10+T11</f>
        <v>1418200</v>
      </c>
      <c r="U9" s="174">
        <f t="shared" ref="U9:V9" si="3">U10+U11</f>
        <v>1450545.2</v>
      </c>
      <c r="V9" s="179">
        <f t="shared" si="3"/>
        <v>2868745.2</v>
      </c>
      <c r="W9" s="174">
        <f>W10+W11</f>
        <v>6779276.7999999998</v>
      </c>
      <c r="X9" s="174">
        <f t="shared" ref="X9:Y9" si="4">X10+X11</f>
        <v>1700389.3</v>
      </c>
      <c r="Y9" s="179">
        <f t="shared" si="4"/>
        <v>8479666.0999999996</v>
      </c>
      <c r="Z9" s="174">
        <f>Z10+Z11</f>
        <v>8894819.5</v>
      </c>
      <c r="AA9" s="174">
        <f t="shared" ref="AA9:AB9" si="5">AA10+AA11</f>
        <v>-1400841.6</v>
      </c>
      <c r="AB9" s="179">
        <f t="shared" si="5"/>
        <v>7493977.9000000004</v>
      </c>
      <c r="AC9" s="174">
        <f>AC10+AC11</f>
        <v>7323392.5999999996</v>
      </c>
      <c r="AD9" s="174">
        <f t="shared" ref="AD9:AE9" si="6">AD10+AD11</f>
        <v>3678423.1</v>
      </c>
      <c r="AE9" s="179">
        <f t="shared" si="6"/>
        <v>11001815.699999999</v>
      </c>
      <c r="AF9" s="174">
        <f>AF10+AF11</f>
        <v>7719041.5</v>
      </c>
      <c r="AG9" s="174">
        <f t="shared" ref="AG9:AH9" si="7">AG10+AG11</f>
        <v>11863005</v>
      </c>
      <c r="AH9" s="179">
        <f t="shared" si="7"/>
        <v>19582046.5</v>
      </c>
    </row>
    <row r="10" spans="1:36" ht="17.25" hidden="1" customHeight="1" outlineLevel="1" x14ac:dyDescent="0.3">
      <c r="A10" s="2"/>
      <c r="B10" s="39" t="s">
        <v>83</v>
      </c>
      <c r="C10" s="4"/>
      <c r="D10" s="5"/>
      <c r="E10" s="11"/>
      <c r="F10" s="11"/>
      <c r="G10" s="11"/>
      <c r="H10" s="135"/>
      <c r="I10" s="88"/>
      <c r="J10" s="83"/>
      <c r="K10" s="11"/>
      <c r="L10" s="11"/>
      <c r="M10" s="179">
        <f>M169</f>
        <v>0</v>
      </c>
      <c r="N10" s="179">
        <f t="shared" ref="N10:AH10" si="8">N169</f>
        <v>0</v>
      </c>
      <c r="O10" s="179">
        <f t="shared" si="8"/>
        <v>0</v>
      </c>
      <c r="P10" s="179">
        <f t="shared" si="8"/>
        <v>0</v>
      </c>
      <c r="Q10" s="307">
        <f t="shared" si="8"/>
        <v>478641.6</v>
      </c>
      <c r="R10" s="179">
        <f t="shared" si="8"/>
        <v>-478641.6</v>
      </c>
      <c r="S10" s="179">
        <f t="shared" si="8"/>
        <v>0</v>
      </c>
      <c r="T10" s="307">
        <f t="shared" si="8"/>
        <v>0</v>
      </c>
      <c r="U10" s="179">
        <f t="shared" si="8"/>
        <v>0</v>
      </c>
      <c r="V10" s="179">
        <f t="shared" si="8"/>
        <v>0</v>
      </c>
      <c r="W10" s="307">
        <f t="shared" si="8"/>
        <v>0</v>
      </c>
      <c r="X10" s="179">
        <f t="shared" si="8"/>
        <v>0</v>
      </c>
      <c r="Y10" s="179">
        <f t="shared" si="8"/>
        <v>0</v>
      </c>
      <c r="Z10" s="307">
        <f t="shared" si="8"/>
        <v>0</v>
      </c>
      <c r="AA10" s="179">
        <f t="shared" si="8"/>
        <v>0</v>
      </c>
      <c r="AB10" s="179">
        <f t="shared" si="8"/>
        <v>0</v>
      </c>
      <c r="AC10" s="307">
        <f t="shared" si="8"/>
        <v>0</v>
      </c>
      <c r="AD10" s="179">
        <f t="shared" si="8"/>
        <v>0</v>
      </c>
      <c r="AE10" s="179">
        <f t="shared" si="8"/>
        <v>0</v>
      </c>
      <c r="AF10" s="307">
        <f t="shared" si="8"/>
        <v>0</v>
      </c>
      <c r="AG10" s="179">
        <f t="shared" si="8"/>
        <v>0</v>
      </c>
      <c r="AH10" s="179">
        <f t="shared" si="8"/>
        <v>0</v>
      </c>
    </row>
    <row r="11" spans="1:36" ht="22.5" customHeight="1" outlineLevel="1" x14ac:dyDescent="0.3">
      <c r="A11" s="2"/>
      <c r="B11" s="3" t="s">
        <v>20</v>
      </c>
      <c r="C11" s="15"/>
      <c r="D11" s="5"/>
      <c r="E11" s="5"/>
      <c r="F11" s="5"/>
      <c r="G11" s="5"/>
      <c r="H11" s="136"/>
      <c r="I11" s="101"/>
      <c r="J11" s="97"/>
      <c r="K11" s="5"/>
      <c r="L11" s="15"/>
      <c r="M11" s="180">
        <f>M15+M20+M25+M30+M35+M40+M45+M55+M60+M65+M70+M75+M80+M85+M90+M110+M115+M120+M125+M130+M135+M50+M140+M145+M150+M155+M160+M165</f>
        <v>0</v>
      </c>
      <c r="N11" s="77">
        <f t="shared" ref="N11:AH11" si="9">N15+N20+N25+N30+N35+N40+N45+N55+N60+N65+N70+N75+N80+N85+N90+N110+N115+N120+N125+N130+N135+N50+N140+N145+N150+N155+N160+N165</f>
        <v>121801.5</v>
      </c>
      <c r="O11" s="77">
        <f t="shared" si="9"/>
        <v>-21801.5</v>
      </c>
      <c r="P11" s="180">
        <f t="shared" si="9"/>
        <v>100000</v>
      </c>
      <c r="Q11" s="295">
        <f t="shared" si="9"/>
        <v>969158.4</v>
      </c>
      <c r="R11" s="77">
        <f t="shared" si="9"/>
        <v>402643.1</v>
      </c>
      <c r="S11" s="180">
        <f t="shared" si="9"/>
        <v>1371801.5</v>
      </c>
      <c r="T11" s="295">
        <f t="shared" si="9"/>
        <v>1418200</v>
      </c>
      <c r="U11" s="77">
        <f t="shared" si="9"/>
        <v>1450545.2</v>
      </c>
      <c r="V11" s="180">
        <f t="shared" si="9"/>
        <v>2868745.2</v>
      </c>
      <c r="W11" s="295">
        <f t="shared" si="9"/>
        <v>6779276.7999999998</v>
      </c>
      <c r="X11" s="77">
        <f t="shared" si="9"/>
        <v>1700389.3</v>
      </c>
      <c r="Y11" s="180">
        <f t="shared" si="9"/>
        <v>8479666.0999999996</v>
      </c>
      <c r="Z11" s="295">
        <f t="shared" si="9"/>
        <v>8894819.5</v>
      </c>
      <c r="AA11" s="77">
        <f t="shared" si="9"/>
        <v>-1400841.6</v>
      </c>
      <c r="AB11" s="180">
        <f t="shared" si="9"/>
        <v>7493977.9000000004</v>
      </c>
      <c r="AC11" s="295">
        <f t="shared" si="9"/>
        <v>7323392.5999999996</v>
      </c>
      <c r="AD11" s="77">
        <f t="shared" si="9"/>
        <v>3678423.1</v>
      </c>
      <c r="AE11" s="180">
        <f t="shared" si="9"/>
        <v>11001815.699999999</v>
      </c>
      <c r="AF11" s="295">
        <f t="shared" si="9"/>
        <v>7719041.5</v>
      </c>
      <c r="AG11" s="77">
        <f t="shared" si="9"/>
        <v>11863005</v>
      </c>
      <c r="AH11" s="180">
        <f t="shared" si="9"/>
        <v>19582046.5</v>
      </c>
    </row>
    <row r="12" spans="1:36" ht="19.5" customHeight="1" outlineLevel="1" x14ac:dyDescent="0.3">
      <c r="A12" s="2"/>
      <c r="B12" s="3" t="s">
        <v>21</v>
      </c>
      <c r="C12" s="15"/>
      <c r="D12" s="5"/>
      <c r="E12" s="5"/>
      <c r="F12" s="5"/>
      <c r="G12" s="5"/>
      <c r="H12" s="136"/>
      <c r="I12" s="101"/>
      <c r="J12" s="97"/>
      <c r="K12" s="5"/>
      <c r="L12" s="15"/>
      <c r="M12" s="180">
        <f>M16+M21+M24+M31+M36+M41+M46+M56+M61+M76+M81+M86+M91+M95+M97+M100+M103+M106+67767.4+M51+M111+M116+M121+M126+M131+M136+M141+M146+M151+M156+M161+M166</f>
        <v>414849.9</v>
      </c>
      <c r="N12" s="289">
        <f t="shared" ref="N12:AH12" si="10">N16+N21+N26+N31+N36+N41+N46+N51+N56+N61+N66+N71+N76+N81+N86+N91+N94+N97+N100+N103+N106+N111+N116+N121+N126+N131+N136+N141+N146+N151+N156+N161+N166+N170</f>
        <v>252561.7</v>
      </c>
      <c r="O12" s="289">
        <f t="shared" si="10"/>
        <v>-16544.7</v>
      </c>
      <c r="P12" s="180">
        <f t="shared" si="10"/>
        <v>236017</v>
      </c>
      <c r="Q12" s="295">
        <f t="shared" si="10"/>
        <v>134815.79999999996</v>
      </c>
      <c r="R12" s="289">
        <f t="shared" si="10"/>
        <v>70547.8</v>
      </c>
      <c r="S12" s="180">
        <f t="shared" si="10"/>
        <v>205363.59999999998</v>
      </c>
      <c r="T12" s="295">
        <f t="shared" si="10"/>
        <v>216518</v>
      </c>
      <c r="U12" s="289">
        <f t="shared" si="10"/>
        <v>321608.60000000003</v>
      </c>
      <c r="V12" s="180">
        <f t="shared" si="10"/>
        <v>538126.6</v>
      </c>
      <c r="W12" s="295">
        <f t="shared" si="10"/>
        <v>574498.69999999995</v>
      </c>
      <c r="X12" s="289">
        <f t="shared" si="10"/>
        <v>-74005.299999999988</v>
      </c>
      <c r="Y12" s="180">
        <f t="shared" si="10"/>
        <v>500493.4</v>
      </c>
      <c r="Z12" s="295">
        <f t="shared" si="10"/>
        <v>391477.1</v>
      </c>
      <c r="AA12" s="289">
        <f t="shared" si="10"/>
        <v>-31828</v>
      </c>
      <c r="AB12" s="180">
        <f t="shared" si="10"/>
        <v>359649.10000000003</v>
      </c>
      <c r="AC12" s="295">
        <f t="shared" si="10"/>
        <v>30000</v>
      </c>
      <c r="AD12" s="289">
        <f t="shared" si="10"/>
        <v>65275.600000000006</v>
      </c>
      <c r="AE12" s="180">
        <f t="shared" si="10"/>
        <v>95275.6</v>
      </c>
      <c r="AF12" s="295">
        <f t="shared" si="10"/>
        <v>30000</v>
      </c>
      <c r="AG12" s="289">
        <f t="shared" si="10"/>
        <v>0</v>
      </c>
      <c r="AH12" s="180">
        <f t="shared" si="10"/>
        <v>30000</v>
      </c>
    </row>
    <row r="13" spans="1:36" ht="15" customHeight="1" outlineLevel="1" x14ac:dyDescent="0.3">
      <c r="A13" s="2"/>
      <c r="B13" s="6" t="s">
        <v>14</v>
      </c>
      <c r="C13" s="4"/>
      <c r="D13" s="5"/>
      <c r="E13" s="5"/>
      <c r="F13" s="5"/>
      <c r="G13" s="5"/>
      <c r="H13" s="136"/>
      <c r="I13" s="101"/>
      <c r="J13" s="97"/>
      <c r="K13" s="5"/>
      <c r="L13" s="4"/>
      <c r="M13" s="88"/>
      <c r="N13" s="83"/>
      <c r="O13" s="11"/>
      <c r="P13" s="88"/>
      <c r="Q13" s="83"/>
      <c r="R13" s="11"/>
      <c r="S13" s="88"/>
      <c r="T13" s="83"/>
      <c r="U13" s="11"/>
      <c r="V13" s="88"/>
      <c r="W13" s="87"/>
      <c r="X13" s="2"/>
      <c r="Y13" s="96"/>
      <c r="Z13" s="87"/>
      <c r="AA13" s="2"/>
      <c r="AB13" s="96"/>
      <c r="AC13" s="87"/>
      <c r="AD13" s="2"/>
      <c r="AE13" s="96"/>
      <c r="AF13" s="87"/>
      <c r="AG13" s="2"/>
      <c r="AH13" s="96"/>
    </row>
    <row r="14" spans="1:36" ht="92.25" customHeight="1" x14ac:dyDescent="0.3">
      <c r="A14" s="348">
        <v>2</v>
      </c>
      <c r="B14" s="6" t="s">
        <v>54</v>
      </c>
      <c r="C14" s="147"/>
      <c r="D14" s="51" t="s">
        <v>51</v>
      </c>
      <c r="E14" s="55">
        <v>26.63</v>
      </c>
      <c r="F14" s="51"/>
      <c r="G14" s="149"/>
      <c r="H14" s="146">
        <v>234324.59074000001</v>
      </c>
      <c r="I14" s="120">
        <v>1312156</v>
      </c>
      <c r="J14" s="387">
        <v>26.63</v>
      </c>
      <c r="K14" s="7"/>
      <c r="L14" s="32" t="e">
        <f>#REF!+#REF!+#REF!+#REF!</f>
        <v>#REF!</v>
      </c>
      <c r="M14" s="91">
        <f>M15+M16</f>
        <v>339917.6</v>
      </c>
      <c r="N14" s="84">
        <f t="shared" ref="N14:T14" si="11">N15+N16</f>
        <v>300500</v>
      </c>
      <c r="O14" s="48">
        <f t="shared" si="11"/>
        <v>-292.7</v>
      </c>
      <c r="P14" s="91">
        <f t="shared" si="11"/>
        <v>300207.3</v>
      </c>
      <c r="Q14" s="84">
        <f t="shared" si="11"/>
        <v>437413.8</v>
      </c>
      <c r="R14" s="48">
        <f t="shared" si="11"/>
        <v>292.7</v>
      </c>
      <c r="S14" s="91">
        <f t="shared" si="11"/>
        <v>437706.5</v>
      </c>
      <c r="T14" s="84">
        <f t="shared" si="11"/>
        <v>0</v>
      </c>
      <c r="U14" s="48"/>
      <c r="V14" s="91">
        <f>T14+U14</f>
        <v>0</v>
      </c>
      <c r="W14" s="197"/>
      <c r="X14" s="111"/>
      <c r="Y14" s="215"/>
      <c r="Z14" s="178"/>
      <c r="AA14" s="112"/>
      <c r="AB14" s="184"/>
      <c r="AC14" s="178"/>
      <c r="AD14" s="112"/>
      <c r="AE14" s="184"/>
      <c r="AF14" s="197"/>
      <c r="AG14" s="76"/>
      <c r="AH14" s="233"/>
      <c r="AI14" s="38"/>
    </row>
    <row r="15" spans="1:36" s="58" customFormat="1" ht="30.75" customHeight="1" x14ac:dyDescent="0.3">
      <c r="A15" s="54" t="s">
        <v>26</v>
      </c>
      <c r="B15" s="26" t="s">
        <v>72</v>
      </c>
      <c r="C15" s="56"/>
      <c r="D15" s="26"/>
      <c r="E15" s="20"/>
      <c r="F15" s="26"/>
      <c r="G15" s="28"/>
      <c r="H15" s="138"/>
      <c r="I15" s="102"/>
      <c r="J15" s="388"/>
      <c r="K15" s="14"/>
      <c r="L15" s="14"/>
      <c r="M15" s="92">
        <v>0</v>
      </c>
      <c r="N15" s="175">
        <v>100000</v>
      </c>
      <c r="O15" s="36"/>
      <c r="P15" s="181">
        <f>N15+O15</f>
        <v>100000</v>
      </c>
      <c r="Q15" s="175">
        <v>421358.4</v>
      </c>
      <c r="R15" s="36"/>
      <c r="S15" s="181">
        <f>Q15+R15</f>
        <v>421358.4</v>
      </c>
      <c r="T15" s="175"/>
      <c r="U15" s="36"/>
      <c r="V15" s="181"/>
      <c r="W15" s="198"/>
      <c r="X15" s="113"/>
      <c r="Y15" s="216"/>
      <c r="Z15" s="198"/>
      <c r="AA15" s="113"/>
      <c r="AB15" s="216"/>
      <c r="AC15" s="198"/>
      <c r="AD15" s="113"/>
      <c r="AE15" s="216"/>
      <c r="AF15" s="198"/>
      <c r="AG15" s="232"/>
      <c r="AH15" s="235"/>
    </row>
    <row r="16" spans="1:36" ht="24" customHeight="1" x14ac:dyDescent="0.3">
      <c r="A16" s="16" t="s">
        <v>27</v>
      </c>
      <c r="B16" s="6" t="s">
        <v>23</v>
      </c>
      <c r="C16" s="52"/>
      <c r="D16" s="53"/>
      <c r="E16" s="10"/>
      <c r="F16" s="53"/>
      <c r="G16" s="7"/>
      <c r="H16" s="137"/>
      <c r="I16" s="103"/>
      <c r="J16" s="389"/>
      <c r="K16" s="7"/>
      <c r="L16" s="7"/>
      <c r="M16" s="93">
        <f>M17+M18</f>
        <v>339917.6</v>
      </c>
      <c r="N16" s="174">
        <v>200500</v>
      </c>
      <c r="O16" s="71">
        <f t="shared" ref="O16" si="12">O17+O18</f>
        <v>-292.7</v>
      </c>
      <c r="P16" s="179">
        <f t="shared" ref="P16:P18" si="13">N16+O16</f>
        <v>200207.3</v>
      </c>
      <c r="Q16" s="174">
        <f>Q17+Q18</f>
        <v>16055.399999999965</v>
      </c>
      <c r="R16" s="71">
        <f t="shared" ref="R16:S16" si="14">R17+R18</f>
        <v>292.7</v>
      </c>
      <c r="S16" s="206">
        <f t="shared" si="14"/>
        <v>16348.099999999966</v>
      </c>
      <c r="T16" s="174"/>
      <c r="U16" s="71"/>
      <c r="V16" s="179"/>
      <c r="W16" s="178"/>
      <c r="X16" s="112"/>
      <c r="Y16" s="184"/>
      <c r="Z16" s="178"/>
      <c r="AA16" s="112"/>
      <c r="AB16" s="184"/>
      <c r="AC16" s="178"/>
      <c r="AD16" s="112"/>
      <c r="AE16" s="184"/>
      <c r="AF16" s="178"/>
      <c r="AG16" s="2"/>
      <c r="AH16" s="96"/>
    </row>
    <row r="17" spans="1:37" ht="21" customHeight="1" x14ac:dyDescent="0.3">
      <c r="A17" s="16"/>
      <c r="B17" s="6" t="s">
        <v>35</v>
      </c>
      <c r="C17" s="148"/>
      <c r="D17" s="150"/>
      <c r="E17" s="152"/>
      <c r="F17" s="150"/>
      <c r="G17" s="150"/>
      <c r="H17" s="139"/>
      <c r="I17" s="104"/>
      <c r="J17" s="349"/>
      <c r="K17" s="7"/>
      <c r="L17" s="7"/>
      <c r="M17" s="93">
        <v>167.6</v>
      </c>
      <c r="N17" s="174">
        <f>200+300</f>
        <v>500</v>
      </c>
      <c r="O17" s="71">
        <v>-292.7</v>
      </c>
      <c r="P17" s="179">
        <f t="shared" si="13"/>
        <v>207.3</v>
      </c>
      <c r="Q17" s="174">
        <v>100</v>
      </c>
      <c r="R17" s="71"/>
      <c r="S17" s="179">
        <f t="shared" ref="S17:S18" si="15">Q17+R17</f>
        <v>100</v>
      </c>
      <c r="T17" s="174"/>
      <c r="U17" s="71"/>
      <c r="V17" s="179"/>
      <c r="W17" s="178"/>
      <c r="X17" s="112"/>
      <c r="Y17" s="184"/>
      <c r="Z17" s="178"/>
      <c r="AA17" s="112"/>
      <c r="AB17" s="184"/>
      <c r="AC17" s="178"/>
      <c r="AD17" s="112"/>
      <c r="AE17" s="184"/>
      <c r="AF17" s="178"/>
      <c r="AG17" s="2"/>
      <c r="AH17" s="96"/>
    </row>
    <row r="18" spans="1:37" ht="21" customHeight="1" x14ac:dyDescent="0.3">
      <c r="A18" s="16"/>
      <c r="B18" s="6" t="s">
        <v>36</v>
      </c>
      <c r="C18" s="148"/>
      <c r="D18" s="150"/>
      <c r="E18" s="152"/>
      <c r="F18" s="150"/>
      <c r="G18" s="150"/>
      <c r="H18" s="139"/>
      <c r="I18" s="104"/>
      <c r="J18" s="349"/>
      <c r="K18" s="7"/>
      <c r="L18" s="7"/>
      <c r="M18" s="93">
        <v>339750</v>
      </c>
      <c r="N18" s="174">
        <v>300000</v>
      </c>
      <c r="O18" s="71"/>
      <c r="P18" s="179">
        <f t="shared" si="13"/>
        <v>300000</v>
      </c>
      <c r="Q18" s="174">
        <f>455875.3-18061.5-300-421558.4</f>
        <v>15955.399999999965</v>
      </c>
      <c r="R18" s="71">
        <v>292.7</v>
      </c>
      <c r="S18" s="179">
        <f t="shared" si="15"/>
        <v>16248.099999999966</v>
      </c>
      <c r="T18" s="174"/>
      <c r="U18" s="71"/>
      <c r="V18" s="179"/>
      <c r="W18" s="178"/>
      <c r="X18" s="112"/>
      <c r="Y18" s="184"/>
      <c r="Z18" s="178"/>
      <c r="AA18" s="112"/>
      <c r="AB18" s="184"/>
      <c r="AC18" s="178"/>
      <c r="AD18" s="112"/>
      <c r="AE18" s="184"/>
      <c r="AF18" s="178"/>
      <c r="AG18" s="2"/>
      <c r="AH18" s="96"/>
    </row>
    <row r="19" spans="1:37" ht="95.25" customHeight="1" x14ac:dyDescent="0.3">
      <c r="A19" s="348">
        <v>4</v>
      </c>
      <c r="B19" s="43" t="s">
        <v>78</v>
      </c>
      <c r="C19" s="239" t="s">
        <v>15</v>
      </c>
      <c r="D19" s="240" t="s">
        <v>66</v>
      </c>
      <c r="E19" s="240">
        <v>14.1</v>
      </c>
      <c r="F19" s="240"/>
      <c r="G19" s="239"/>
      <c r="H19" s="241"/>
      <c r="I19" s="251">
        <f>869198.1+13580</f>
        <v>882778.1</v>
      </c>
      <c r="J19" s="166">
        <v>13.83</v>
      </c>
      <c r="K19" s="14"/>
      <c r="L19" s="167" t="e">
        <f>#REF!+#REF!+#REF!</f>
        <v>#REF!</v>
      </c>
      <c r="M19" s="91">
        <f t="shared" ref="M19" si="16">M20+M21</f>
        <v>0</v>
      </c>
      <c r="N19" s="84">
        <f>N20+N21</f>
        <v>0</v>
      </c>
      <c r="O19" s="48">
        <f>O20+O21</f>
        <v>0</v>
      </c>
      <c r="P19" s="91">
        <f t="shared" ref="P19:AH19" si="17">P20+P21</f>
        <v>0</v>
      </c>
      <c r="Q19" s="84">
        <f t="shared" si="17"/>
        <v>0</v>
      </c>
      <c r="R19" s="48">
        <f t="shared" si="17"/>
        <v>0</v>
      </c>
      <c r="S19" s="91">
        <f t="shared" si="17"/>
        <v>0</v>
      </c>
      <c r="T19" s="84">
        <f t="shared" si="17"/>
        <v>0</v>
      </c>
      <c r="U19" s="48"/>
      <c r="V19" s="91"/>
      <c r="W19" s="84">
        <f t="shared" si="17"/>
        <v>15000</v>
      </c>
      <c r="X19" s="84">
        <f t="shared" si="17"/>
        <v>-10069.5</v>
      </c>
      <c r="Y19" s="91">
        <f t="shared" si="17"/>
        <v>4930.5</v>
      </c>
      <c r="Z19" s="84">
        <f t="shared" si="17"/>
        <v>249636.5</v>
      </c>
      <c r="AA19" s="84">
        <f t="shared" si="17"/>
        <v>-237033.4</v>
      </c>
      <c r="AB19" s="91">
        <f t="shared" si="17"/>
        <v>12603.1</v>
      </c>
      <c r="AC19" s="84">
        <f t="shared" si="17"/>
        <v>300000</v>
      </c>
      <c r="AD19" s="84">
        <f t="shared" si="17"/>
        <v>130000</v>
      </c>
      <c r="AE19" s="91">
        <f t="shared" si="17"/>
        <v>430000</v>
      </c>
      <c r="AF19" s="84">
        <f t="shared" si="17"/>
        <v>318141.59999999998</v>
      </c>
      <c r="AG19" s="84">
        <f t="shared" si="17"/>
        <v>117102.9</v>
      </c>
      <c r="AH19" s="91">
        <f t="shared" si="17"/>
        <v>435244.5</v>
      </c>
      <c r="AI19" s="238">
        <f>I19-Y19-AB19-AE19-AH19</f>
        <v>0</v>
      </c>
    </row>
    <row r="20" spans="1:37" s="58" customFormat="1" ht="21.75" customHeight="1" x14ac:dyDescent="0.3">
      <c r="A20" s="54" t="s">
        <v>24</v>
      </c>
      <c r="B20" s="26" t="s">
        <v>22</v>
      </c>
      <c r="C20" s="56"/>
      <c r="D20" s="26"/>
      <c r="E20" s="26"/>
      <c r="F20" s="26"/>
      <c r="G20" s="28"/>
      <c r="H20" s="138"/>
      <c r="I20" s="106"/>
      <c r="J20" s="98"/>
      <c r="K20" s="28"/>
      <c r="L20" s="28"/>
      <c r="M20" s="92">
        <v>0</v>
      </c>
      <c r="N20" s="85"/>
      <c r="O20" s="35"/>
      <c r="P20" s="92">
        <f>N20+O20</f>
        <v>0</v>
      </c>
      <c r="Q20" s="85"/>
      <c r="R20" s="35"/>
      <c r="S20" s="92">
        <f>Q20+R20</f>
        <v>0</v>
      </c>
      <c r="T20" s="85"/>
      <c r="U20" s="35"/>
      <c r="V20" s="92"/>
      <c r="W20" s="199"/>
      <c r="X20" s="114"/>
      <c r="Y20" s="217"/>
      <c r="Z20" s="189">
        <f>Z23</f>
        <v>249636.5</v>
      </c>
      <c r="AA20" s="189">
        <f t="shared" ref="AA20:AB20" si="18">AA23</f>
        <v>-249636.5</v>
      </c>
      <c r="AB20" s="203">
        <f t="shared" si="18"/>
        <v>0</v>
      </c>
      <c r="AC20" s="189">
        <f>AC23</f>
        <v>300000</v>
      </c>
      <c r="AD20" s="189">
        <f t="shared" ref="AD20:AE20" si="19">AD23</f>
        <v>130000</v>
      </c>
      <c r="AE20" s="203">
        <f t="shared" si="19"/>
        <v>430000</v>
      </c>
      <c r="AF20" s="189">
        <f>AF23</f>
        <v>318141.59999999998</v>
      </c>
      <c r="AG20" s="189">
        <f t="shared" ref="AG20:AH20" si="20">AG23</f>
        <v>117102.9</v>
      </c>
      <c r="AH20" s="203">
        <f t="shared" si="20"/>
        <v>435244.5</v>
      </c>
    </row>
    <row r="21" spans="1:37" ht="22.5" customHeight="1" x14ac:dyDescent="0.3">
      <c r="A21" s="16" t="s">
        <v>25</v>
      </c>
      <c r="B21" s="6" t="s">
        <v>23</v>
      </c>
      <c r="C21" s="52"/>
      <c r="D21" s="53"/>
      <c r="E21" s="53"/>
      <c r="F21" s="53"/>
      <c r="G21" s="7"/>
      <c r="H21" s="137"/>
      <c r="I21" s="107"/>
      <c r="J21" s="99"/>
      <c r="K21" s="7"/>
      <c r="L21" s="7"/>
      <c r="M21" s="93">
        <v>0</v>
      </c>
      <c r="N21" s="174">
        <f>N22+N23</f>
        <v>0</v>
      </c>
      <c r="O21" s="71">
        <f>O22+O23</f>
        <v>0</v>
      </c>
      <c r="P21" s="179">
        <f>N21+O21</f>
        <v>0</v>
      </c>
      <c r="Q21" s="174"/>
      <c r="R21" s="71"/>
      <c r="S21" s="179">
        <f>Q21+R21</f>
        <v>0</v>
      </c>
      <c r="T21" s="174"/>
      <c r="U21" s="71"/>
      <c r="V21" s="179"/>
      <c r="W21" s="178">
        <f>W22</f>
        <v>15000</v>
      </c>
      <c r="X21" s="178">
        <f t="shared" ref="X21:Y21" si="21">X22</f>
        <v>-10069.5</v>
      </c>
      <c r="Y21" s="184">
        <f t="shared" si="21"/>
        <v>4930.5</v>
      </c>
      <c r="Z21" s="178">
        <f>Z22</f>
        <v>0</v>
      </c>
      <c r="AA21" s="178">
        <f t="shared" ref="AA21:AB21" si="22">AA22</f>
        <v>12603.1</v>
      </c>
      <c r="AB21" s="184">
        <f t="shared" si="22"/>
        <v>12603.1</v>
      </c>
      <c r="AC21" s="178"/>
      <c r="AD21" s="112"/>
      <c r="AE21" s="184"/>
      <c r="AF21" s="178"/>
      <c r="AG21" s="2"/>
      <c r="AH21" s="96"/>
    </row>
    <row r="22" spans="1:37" ht="17.25" customHeight="1" x14ac:dyDescent="0.3">
      <c r="A22" s="16"/>
      <c r="B22" s="6" t="s">
        <v>35</v>
      </c>
      <c r="C22" s="8"/>
      <c r="D22" s="7"/>
      <c r="E22" s="7"/>
      <c r="F22" s="7"/>
      <c r="G22" s="7"/>
      <c r="H22" s="137"/>
      <c r="I22" s="108"/>
      <c r="J22" s="12"/>
      <c r="K22" s="7"/>
      <c r="L22" s="7"/>
      <c r="M22" s="93">
        <v>0</v>
      </c>
      <c r="N22" s="174">
        <f>730-730</f>
        <v>0</v>
      </c>
      <c r="O22" s="71"/>
      <c r="P22" s="179">
        <f t="shared" ref="P22:P23" si="23">N22+O22</f>
        <v>0</v>
      </c>
      <c r="Q22" s="174"/>
      <c r="R22" s="71"/>
      <c r="S22" s="179">
        <f t="shared" ref="S22:S23" si="24">Q22+R22</f>
        <v>0</v>
      </c>
      <c r="T22" s="174"/>
      <c r="U22" s="71"/>
      <c r="V22" s="179"/>
      <c r="W22" s="178">
        <v>15000</v>
      </c>
      <c r="X22" s="112">
        <v>-10069.5</v>
      </c>
      <c r="Y22" s="184">
        <f>W22+X22</f>
        <v>4930.5</v>
      </c>
      <c r="Z22" s="178"/>
      <c r="AA22" s="112">
        <v>12603.1</v>
      </c>
      <c r="AB22" s="184">
        <f>Z22+AA22</f>
        <v>12603.1</v>
      </c>
      <c r="AC22" s="178"/>
      <c r="AD22" s="112"/>
      <c r="AE22" s="184"/>
      <c r="AF22" s="178"/>
      <c r="AG22" s="2"/>
      <c r="AH22" s="96"/>
    </row>
    <row r="23" spans="1:37" ht="17.25" customHeight="1" x14ac:dyDescent="0.3">
      <c r="A23" s="16"/>
      <c r="B23" s="6" t="s">
        <v>36</v>
      </c>
      <c r="C23" s="8"/>
      <c r="D23" s="7"/>
      <c r="E23" s="7"/>
      <c r="F23" s="7"/>
      <c r="G23" s="7"/>
      <c r="H23" s="137"/>
      <c r="I23" s="108"/>
      <c r="J23" s="12"/>
      <c r="K23" s="7"/>
      <c r="L23" s="7"/>
      <c r="M23" s="93">
        <v>0</v>
      </c>
      <c r="N23" s="95"/>
      <c r="O23" s="69"/>
      <c r="P23" s="179">
        <f t="shared" si="23"/>
        <v>0</v>
      </c>
      <c r="Q23" s="84"/>
      <c r="R23" s="48"/>
      <c r="S23" s="179">
        <f t="shared" si="24"/>
        <v>0</v>
      </c>
      <c r="T23" s="84"/>
      <c r="U23" s="48"/>
      <c r="V23" s="91"/>
      <c r="W23" s="200"/>
      <c r="X23" s="115"/>
      <c r="Y23" s="218"/>
      <c r="Z23" s="211">
        <f>71136.5+178500</f>
        <v>249636.5</v>
      </c>
      <c r="AA23" s="134">
        <v>-249636.5</v>
      </c>
      <c r="AB23" s="223">
        <f>Z23+AA23</f>
        <v>0</v>
      </c>
      <c r="AC23" s="178">
        <v>300000</v>
      </c>
      <c r="AD23" s="112">
        <v>130000</v>
      </c>
      <c r="AE23" s="184">
        <f>AC23+AD23</f>
        <v>430000</v>
      </c>
      <c r="AF23" s="178">
        <f>317411.6+730</f>
        <v>318141.59999999998</v>
      </c>
      <c r="AG23" s="2">
        <v>117102.9</v>
      </c>
      <c r="AH23" s="184">
        <f>AF23+AG23</f>
        <v>435244.5</v>
      </c>
    </row>
    <row r="24" spans="1:37" ht="80.25" customHeight="1" x14ac:dyDescent="0.3">
      <c r="A24" s="348">
        <v>6</v>
      </c>
      <c r="B24" s="43" t="s">
        <v>18</v>
      </c>
      <c r="C24" s="168" t="s">
        <v>16</v>
      </c>
      <c r="D24" s="14">
        <v>2023</v>
      </c>
      <c r="E24" s="14"/>
      <c r="F24" s="14">
        <v>43.15</v>
      </c>
      <c r="G24" s="14">
        <v>4.3150000000000001E-2</v>
      </c>
      <c r="H24" s="140">
        <v>1605.96549</v>
      </c>
      <c r="I24" s="91">
        <f>64167.266+55</f>
        <v>64222.266000000003</v>
      </c>
      <c r="J24" s="47"/>
      <c r="K24" s="14">
        <v>43.15</v>
      </c>
      <c r="L24" s="167" t="e">
        <f>#REF!+#REF!</f>
        <v>#REF!</v>
      </c>
      <c r="M24" s="91">
        <f t="shared" ref="M24:Y24" si="25">M27+M28</f>
        <v>0</v>
      </c>
      <c r="N24" s="84">
        <f>N25+N26</f>
        <v>0</v>
      </c>
      <c r="O24" s="84">
        <f t="shared" ref="O24:P24" si="26">O25+O26</f>
        <v>0</v>
      </c>
      <c r="P24" s="91">
        <f t="shared" si="26"/>
        <v>0</v>
      </c>
      <c r="Q24" s="84">
        <f>Q25+Q26</f>
        <v>20000</v>
      </c>
      <c r="R24" s="84">
        <f t="shared" ref="R24:S24" si="27">R25+R26</f>
        <v>-17000</v>
      </c>
      <c r="S24" s="91">
        <f t="shared" si="27"/>
        <v>3000</v>
      </c>
      <c r="T24" s="84">
        <f>T25+T26</f>
        <v>42616.3</v>
      </c>
      <c r="U24" s="84">
        <f t="shared" ref="U24:V24" si="28">U25+U26</f>
        <v>0</v>
      </c>
      <c r="V24" s="91">
        <f t="shared" si="28"/>
        <v>42616.3</v>
      </c>
      <c r="W24" s="84">
        <f t="shared" si="25"/>
        <v>0</v>
      </c>
      <c r="X24" s="84">
        <f t="shared" si="25"/>
        <v>17000</v>
      </c>
      <c r="Y24" s="311">
        <f t="shared" si="25"/>
        <v>17000</v>
      </c>
      <c r="Z24" s="212"/>
      <c r="AA24" s="169"/>
      <c r="AB24" s="224"/>
      <c r="AC24" s="212"/>
      <c r="AD24" s="169"/>
      <c r="AE24" s="224"/>
      <c r="AF24" s="190"/>
      <c r="AG24" s="76"/>
      <c r="AH24" s="96"/>
      <c r="AI24" s="40">
        <f>I24-S24-V24-Y24</f>
        <v>1605.9660000000003</v>
      </c>
      <c r="AJ24" s="300" t="s">
        <v>94</v>
      </c>
    </row>
    <row r="25" spans="1:37" ht="20.25" customHeight="1" x14ac:dyDescent="0.3">
      <c r="A25" s="348"/>
      <c r="B25" s="26" t="s">
        <v>22</v>
      </c>
      <c r="C25" s="27"/>
      <c r="D25" s="28"/>
      <c r="E25" s="28"/>
      <c r="F25" s="28"/>
      <c r="G25" s="28"/>
      <c r="H25" s="138"/>
      <c r="I25" s="92"/>
      <c r="J25" s="34"/>
      <c r="K25" s="28"/>
      <c r="L25" s="19"/>
      <c r="M25" s="92"/>
      <c r="N25" s="85"/>
      <c r="O25" s="35"/>
      <c r="P25" s="92"/>
      <c r="Q25" s="85"/>
      <c r="R25" s="35"/>
      <c r="S25" s="92"/>
      <c r="T25" s="85"/>
      <c r="U25" s="35"/>
      <c r="V25" s="92"/>
      <c r="W25" s="85"/>
      <c r="X25" s="35"/>
      <c r="Y25" s="92"/>
      <c r="Z25" s="198"/>
      <c r="AA25" s="113"/>
      <c r="AB25" s="216"/>
      <c r="AC25" s="198"/>
      <c r="AD25" s="113"/>
      <c r="AE25" s="216"/>
      <c r="AF25" s="189"/>
      <c r="AG25" s="246"/>
      <c r="AH25" s="235"/>
    </row>
    <row r="26" spans="1:37" ht="20.25" customHeight="1" x14ac:dyDescent="0.3">
      <c r="A26" s="348"/>
      <c r="B26" s="6" t="s">
        <v>23</v>
      </c>
      <c r="C26" s="168"/>
      <c r="D26" s="14"/>
      <c r="E26" s="14"/>
      <c r="F26" s="14"/>
      <c r="G26" s="14"/>
      <c r="H26" s="140"/>
      <c r="I26" s="91"/>
      <c r="J26" s="47"/>
      <c r="K26" s="14"/>
      <c r="L26" s="167"/>
      <c r="M26" s="91">
        <f>M27+M28</f>
        <v>0</v>
      </c>
      <c r="O26" s="48"/>
      <c r="P26" s="91">
        <f>N27+N28</f>
        <v>0</v>
      </c>
      <c r="Q26" s="84">
        <f>Q27+Q28</f>
        <v>20000</v>
      </c>
      <c r="R26" s="84">
        <f t="shared" ref="R26:S26" si="29">R27+R28</f>
        <v>-17000</v>
      </c>
      <c r="S26" s="91">
        <f t="shared" si="29"/>
        <v>3000</v>
      </c>
      <c r="T26" s="84">
        <f>T27+T28</f>
        <v>42616.3</v>
      </c>
      <c r="U26" s="84">
        <f t="shared" ref="U26:V26" si="30">U27+U28</f>
        <v>0</v>
      </c>
      <c r="V26" s="91">
        <f t="shared" si="30"/>
        <v>42616.3</v>
      </c>
      <c r="W26" s="84">
        <f>W28</f>
        <v>0</v>
      </c>
      <c r="X26" s="84">
        <f t="shared" ref="X26:Y26" si="31">X28</f>
        <v>17000</v>
      </c>
      <c r="Y26" s="311">
        <f t="shared" si="31"/>
        <v>17000</v>
      </c>
      <c r="Z26" s="212"/>
      <c r="AA26" s="169"/>
      <c r="AB26" s="224"/>
      <c r="AC26" s="212"/>
      <c r="AD26" s="169"/>
      <c r="AE26" s="224"/>
      <c r="AF26" s="190"/>
      <c r="AG26" s="76"/>
      <c r="AH26" s="96"/>
    </row>
    <row r="27" spans="1:37" ht="19.5" customHeight="1" x14ac:dyDescent="0.3">
      <c r="A27" s="348"/>
      <c r="B27" s="6" t="s">
        <v>35</v>
      </c>
      <c r="C27" s="8"/>
      <c r="D27" s="7"/>
      <c r="E27" s="7"/>
      <c r="F27" s="7"/>
      <c r="G27" s="7"/>
      <c r="H27" s="137"/>
      <c r="I27" s="105"/>
      <c r="J27" s="12"/>
      <c r="K27" s="7"/>
      <c r="L27" s="9"/>
      <c r="M27" s="93">
        <v>0</v>
      </c>
      <c r="N27" s="174"/>
      <c r="O27" s="71"/>
      <c r="P27" s="91">
        <f>N27+O27</f>
        <v>0</v>
      </c>
      <c r="Q27" s="174"/>
      <c r="R27" s="69">
        <v>3000</v>
      </c>
      <c r="S27" s="91">
        <f t="shared" ref="S27:S28" si="32">Q27+R27</f>
        <v>3000</v>
      </c>
      <c r="T27" s="174">
        <v>55</v>
      </c>
      <c r="U27" s="71"/>
      <c r="V27" s="179">
        <f>T27+U27</f>
        <v>55</v>
      </c>
      <c r="W27" s="178"/>
      <c r="X27" s="112"/>
      <c r="Y27" s="184"/>
      <c r="Z27" s="178"/>
      <c r="AA27" s="112"/>
      <c r="AB27" s="184"/>
      <c r="AC27" s="178"/>
      <c r="AD27" s="112"/>
      <c r="AE27" s="184"/>
      <c r="AF27" s="178"/>
      <c r="AG27" s="2"/>
      <c r="AH27" s="96"/>
    </row>
    <row r="28" spans="1:37" ht="19.5" customHeight="1" x14ac:dyDescent="0.3">
      <c r="A28" s="348"/>
      <c r="B28" s="6" t="s">
        <v>36</v>
      </c>
      <c r="C28" s="8"/>
      <c r="D28" s="7"/>
      <c r="E28" s="7"/>
      <c r="F28" s="7"/>
      <c r="G28" s="7"/>
      <c r="H28" s="137"/>
      <c r="I28" s="105"/>
      <c r="J28" s="12"/>
      <c r="K28" s="7"/>
      <c r="L28" s="9"/>
      <c r="M28" s="93">
        <v>0</v>
      </c>
      <c r="N28" s="174">
        <f>38500*1.044+2367.3-42561.3</f>
        <v>0</v>
      </c>
      <c r="O28" s="71"/>
      <c r="P28" s="91">
        <f>N28+O28</f>
        <v>0</v>
      </c>
      <c r="Q28" s="95">
        <v>20000</v>
      </c>
      <c r="R28" s="69">
        <v>-20000</v>
      </c>
      <c r="S28" s="91">
        <f t="shared" si="32"/>
        <v>0</v>
      </c>
      <c r="T28" s="174">
        <v>42561.3</v>
      </c>
      <c r="U28" s="71"/>
      <c r="V28" s="179">
        <f>T28+U28</f>
        <v>42561.3</v>
      </c>
      <c r="W28" s="178"/>
      <c r="X28" s="112">
        <v>17000</v>
      </c>
      <c r="Y28" s="184">
        <f>W28+X28</f>
        <v>17000</v>
      </c>
      <c r="Z28" s="178"/>
      <c r="AA28" s="112"/>
      <c r="AB28" s="184"/>
      <c r="AC28" s="178"/>
      <c r="AD28" s="112"/>
      <c r="AE28" s="184"/>
      <c r="AF28" s="178"/>
      <c r="AG28" s="2"/>
      <c r="AH28" s="96"/>
    </row>
    <row r="29" spans="1:37" ht="105" customHeight="1" x14ac:dyDescent="0.3">
      <c r="A29" s="346">
        <v>17</v>
      </c>
      <c r="B29" s="317" t="s">
        <v>102</v>
      </c>
      <c r="C29" s="318"/>
      <c r="D29" s="319" t="s">
        <v>52</v>
      </c>
      <c r="E29" s="319">
        <v>2.83</v>
      </c>
      <c r="F29" s="320">
        <v>318</v>
      </c>
      <c r="G29" s="319"/>
      <c r="H29" s="321"/>
      <c r="I29" s="322">
        <v>2860323.6</v>
      </c>
      <c r="J29" s="187"/>
      <c r="K29" s="320"/>
      <c r="L29" s="49"/>
      <c r="M29" s="206">
        <f t="shared" ref="M29:AC29" si="33">M30+M31</f>
        <v>5687.2</v>
      </c>
      <c r="N29" s="187">
        <f t="shared" si="33"/>
        <v>27687.1</v>
      </c>
      <c r="O29" s="49">
        <f t="shared" si="33"/>
        <v>-21801.5</v>
      </c>
      <c r="P29" s="206">
        <f t="shared" si="33"/>
        <v>5885.5999999999995</v>
      </c>
      <c r="Q29" s="187">
        <f t="shared" si="33"/>
        <v>20000</v>
      </c>
      <c r="R29" s="49">
        <f t="shared" si="33"/>
        <v>501801.5</v>
      </c>
      <c r="S29" s="206">
        <f t="shared" si="33"/>
        <v>521801.5</v>
      </c>
      <c r="T29" s="187">
        <f t="shared" si="33"/>
        <v>350000</v>
      </c>
      <c r="U29" s="49">
        <f t="shared" si="33"/>
        <v>1238540</v>
      </c>
      <c r="V29" s="206">
        <f t="shared" si="33"/>
        <v>1588540</v>
      </c>
      <c r="W29" s="187">
        <f t="shared" si="33"/>
        <v>430919.9</v>
      </c>
      <c r="X29" s="187">
        <f t="shared" si="33"/>
        <v>312033.7</v>
      </c>
      <c r="Y29" s="334">
        <f t="shared" si="33"/>
        <v>742953.6</v>
      </c>
      <c r="Z29" s="187">
        <f t="shared" si="33"/>
        <v>493811.3</v>
      </c>
      <c r="AA29" s="187">
        <f t="shared" si="33"/>
        <v>-493811.3</v>
      </c>
      <c r="AB29" s="334">
        <f t="shared" si="33"/>
        <v>0</v>
      </c>
      <c r="AC29" s="187">
        <f t="shared" si="33"/>
        <v>0</v>
      </c>
      <c r="AD29" s="49"/>
      <c r="AE29" s="206"/>
      <c r="AF29" s="327"/>
      <c r="AG29" s="335"/>
      <c r="AH29" s="336"/>
      <c r="AI29" s="40">
        <f>I29-P29-S29-V29-Y29-AB29</f>
        <v>1142.9000000000233</v>
      </c>
      <c r="AJ29" s="300">
        <v>1142.88967</v>
      </c>
      <c r="AK29" s="300" t="s">
        <v>103</v>
      </c>
    </row>
    <row r="30" spans="1:37" s="58" customFormat="1" ht="21.75" customHeight="1" x14ac:dyDescent="0.3">
      <c r="A30" s="60"/>
      <c r="B30" s="57" t="s">
        <v>20</v>
      </c>
      <c r="C30" s="33"/>
      <c r="D30" s="28"/>
      <c r="E30" s="28"/>
      <c r="F30" s="34"/>
      <c r="G30" s="28"/>
      <c r="H30" s="138"/>
      <c r="I30" s="92"/>
      <c r="J30" s="85"/>
      <c r="K30" s="34"/>
      <c r="L30" s="35"/>
      <c r="M30" s="92">
        <v>0</v>
      </c>
      <c r="N30" s="35">
        <f>N33</f>
        <v>21801.5</v>
      </c>
      <c r="O30" s="35">
        <f>O33</f>
        <v>-21801.5</v>
      </c>
      <c r="P30" s="92">
        <f>N30+O30</f>
        <v>0</v>
      </c>
      <c r="Q30" s="85"/>
      <c r="R30" s="35">
        <f>450000+21801.5</f>
        <v>471801.5</v>
      </c>
      <c r="S30" s="92">
        <f>Q30+R30</f>
        <v>471801.5</v>
      </c>
      <c r="T30" s="189">
        <v>318200</v>
      </c>
      <c r="U30" s="37">
        <v>1111486</v>
      </c>
      <c r="V30" s="203">
        <f>T30+U30</f>
        <v>1429686</v>
      </c>
      <c r="W30" s="189">
        <v>391811.9</v>
      </c>
      <c r="X30" s="37">
        <v>276846.3</v>
      </c>
      <c r="Y30" s="203">
        <f>W30+X30</f>
        <v>668658.19999999995</v>
      </c>
      <c r="Z30" s="189">
        <f>514080.1-46600</f>
        <v>467480.1</v>
      </c>
      <c r="AA30" s="37">
        <v>-467480.1</v>
      </c>
      <c r="AB30" s="203">
        <f>Z30+AA30</f>
        <v>0</v>
      </c>
      <c r="AC30" s="198"/>
      <c r="AD30" s="113"/>
      <c r="AE30" s="216"/>
      <c r="AF30" s="198"/>
      <c r="AG30" s="198"/>
      <c r="AH30" s="216"/>
    </row>
    <row r="31" spans="1:37" ht="22.5" customHeight="1" x14ac:dyDescent="0.3">
      <c r="A31" s="59"/>
      <c r="B31" s="3" t="s">
        <v>21</v>
      </c>
      <c r="C31" s="46"/>
      <c r="D31" s="14"/>
      <c r="E31" s="14"/>
      <c r="F31" s="47"/>
      <c r="G31" s="14"/>
      <c r="H31" s="140"/>
      <c r="I31" s="91"/>
      <c r="J31" s="84"/>
      <c r="K31" s="47"/>
      <c r="L31" s="48"/>
      <c r="M31" s="91">
        <f t="shared" ref="M31" si="34">M32</f>
        <v>5687.2</v>
      </c>
      <c r="N31" s="84">
        <f>N32</f>
        <v>5885.5999999999995</v>
      </c>
      <c r="O31" s="48">
        <f>O32</f>
        <v>0</v>
      </c>
      <c r="P31" s="91">
        <f>N31+O31</f>
        <v>5885.5999999999995</v>
      </c>
      <c r="Q31" s="84">
        <f>Q32</f>
        <v>20000</v>
      </c>
      <c r="R31" s="48">
        <f>R32+27300</f>
        <v>30000</v>
      </c>
      <c r="S31" s="91">
        <f>Q31+R31</f>
        <v>50000</v>
      </c>
      <c r="T31" s="190">
        <v>31800</v>
      </c>
      <c r="U31" s="50">
        <v>127054</v>
      </c>
      <c r="V31" s="204">
        <f>T31+U31</f>
        <v>158854</v>
      </c>
      <c r="W31" s="197">
        <v>39108</v>
      </c>
      <c r="X31" s="111">
        <v>35187.4</v>
      </c>
      <c r="Y31" s="215">
        <f>W31+X31</f>
        <v>74295.399999999994</v>
      </c>
      <c r="Z31" s="197">
        <f>46600-70.4-20198.4</f>
        <v>26331.199999999997</v>
      </c>
      <c r="AA31" s="111">
        <v>-26331.200000000001</v>
      </c>
      <c r="AB31" s="215">
        <f>Z31+AA31</f>
        <v>0</v>
      </c>
      <c r="AC31" s="178"/>
      <c r="AD31" s="112"/>
      <c r="AE31" s="184"/>
      <c r="AF31" s="178"/>
      <c r="AG31" s="2"/>
      <c r="AH31" s="96"/>
    </row>
    <row r="32" spans="1:37" ht="21.75" customHeight="1" x14ac:dyDescent="0.3">
      <c r="A32" s="59"/>
      <c r="B32" s="6" t="s">
        <v>35</v>
      </c>
      <c r="C32" s="46"/>
      <c r="D32" s="14"/>
      <c r="E32" s="14"/>
      <c r="F32" s="47"/>
      <c r="G32" s="14"/>
      <c r="H32" s="140"/>
      <c r="I32" s="91"/>
      <c r="J32" s="84"/>
      <c r="K32" s="47"/>
      <c r="L32" s="48"/>
      <c r="M32" s="91">
        <v>5687.2</v>
      </c>
      <c r="N32" s="84">
        <f>198.4+5687.2</f>
        <v>5885.5999999999995</v>
      </c>
      <c r="O32" s="48"/>
      <c r="P32" s="91">
        <f t="shared" ref="P32:P33" si="35">N32+O32</f>
        <v>5885.5999999999995</v>
      </c>
      <c r="Q32" s="84">
        <v>20000</v>
      </c>
      <c r="R32" s="48">
        <f>2700</f>
        <v>2700</v>
      </c>
      <c r="S32" s="91">
        <f t="shared" ref="S32:S33" si="36">Q32+R32</f>
        <v>22700</v>
      </c>
      <c r="T32" s="190"/>
      <c r="U32" s="50"/>
      <c r="V32" s="204"/>
      <c r="W32" s="178"/>
      <c r="X32" s="112"/>
      <c r="Y32" s="184"/>
      <c r="Z32" s="178"/>
      <c r="AA32" s="112"/>
      <c r="AB32" s="184"/>
      <c r="AC32" s="178"/>
      <c r="AD32" s="112"/>
      <c r="AE32" s="184"/>
      <c r="AF32" s="178"/>
      <c r="AG32" s="2"/>
      <c r="AH32" s="96"/>
    </row>
    <row r="33" spans="1:35" ht="46.5" customHeight="1" x14ac:dyDescent="0.3">
      <c r="A33" s="59"/>
      <c r="B33" s="6" t="s">
        <v>131</v>
      </c>
      <c r="C33" s="46"/>
      <c r="D33" s="14"/>
      <c r="E33" s="14"/>
      <c r="F33" s="47"/>
      <c r="G33" s="14"/>
      <c r="H33" s="140"/>
      <c r="I33" s="91"/>
      <c r="J33" s="84"/>
      <c r="K33" s="47"/>
      <c r="L33" s="48"/>
      <c r="M33" s="91">
        <v>0</v>
      </c>
      <c r="N33" s="48">
        <f>22000-198.5</f>
        <v>21801.5</v>
      </c>
      <c r="O33" s="48">
        <v>-21801.5</v>
      </c>
      <c r="P33" s="91">
        <f t="shared" si="35"/>
        <v>0</v>
      </c>
      <c r="Q33" s="84"/>
      <c r="R33" s="48">
        <f>477300+21801.5</f>
        <v>499101.5</v>
      </c>
      <c r="S33" s="91">
        <f t="shared" si="36"/>
        <v>499101.5</v>
      </c>
      <c r="T33" s="84">
        <v>350000</v>
      </c>
      <c r="U33" s="48">
        <v>1238540</v>
      </c>
      <c r="V33" s="91">
        <f>T33+U33</f>
        <v>1588540</v>
      </c>
      <c r="W33" s="197">
        <v>430919.9</v>
      </c>
      <c r="X33" s="111">
        <v>312033.7</v>
      </c>
      <c r="Y33" s="215">
        <f>W33+X33</f>
        <v>742953.60000000009</v>
      </c>
      <c r="Z33" s="197">
        <v>493811.3</v>
      </c>
      <c r="AA33" s="111">
        <v>-493811.3</v>
      </c>
      <c r="AB33" s="215">
        <f>Z33+AA33</f>
        <v>0</v>
      </c>
      <c r="AC33" s="178"/>
      <c r="AD33" s="112"/>
      <c r="AE33" s="184"/>
      <c r="AF33" s="178"/>
      <c r="AG33" s="2"/>
      <c r="AH33" s="96"/>
    </row>
    <row r="34" spans="1:35" s="58" customFormat="1" ht="90.75" customHeight="1" x14ac:dyDescent="0.3">
      <c r="A34" s="236"/>
      <c r="B34" s="317" t="s">
        <v>59</v>
      </c>
      <c r="C34" s="318"/>
      <c r="D34" s="319" t="s">
        <v>48</v>
      </c>
      <c r="E34" s="319">
        <v>2.5</v>
      </c>
      <c r="F34" s="320"/>
      <c r="G34" s="319"/>
      <c r="H34" s="321"/>
      <c r="I34" s="322">
        <v>1768282</v>
      </c>
      <c r="J34" s="187"/>
      <c r="K34" s="320"/>
      <c r="L34" s="49"/>
      <c r="M34" s="206"/>
      <c r="N34" s="187">
        <f t="shared" ref="N34:Y34" si="37">N35+N36</f>
        <v>16252</v>
      </c>
      <c r="O34" s="49">
        <f t="shared" si="37"/>
        <v>-16252</v>
      </c>
      <c r="P34" s="206">
        <f t="shared" si="37"/>
        <v>0</v>
      </c>
      <c r="Q34" s="323">
        <f t="shared" si="37"/>
        <v>489194</v>
      </c>
      <c r="R34" s="324">
        <f t="shared" si="37"/>
        <v>-433748</v>
      </c>
      <c r="S34" s="325">
        <f t="shared" si="37"/>
        <v>55446</v>
      </c>
      <c r="T34" s="323">
        <f t="shared" si="37"/>
        <v>700000</v>
      </c>
      <c r="U34" s="324">
        <f t="shared" si="37"/>
        <v>-700000</v>
      </c>
      <c r="V34" s="325">
        <f t="shared" si="37"/>
        <v>0</v>
      </c>
      <c r="W34" s="323">
        <f t="shared" si="37"/>
        <v>274236</v>
      </c>
      <c r="X34" s="323">
        <f t="shared" si="37"/>
        <v>300000</v>
      </c>
      <c r="Y34" s="326">
        <f t="shared" si="37"/>
        <v>574236</v>
      </c>
      <c r="Z34" s="327">
        <f>Z35+Z36</f>
        <v>0</v>
      </c>
      <c r="AA34" s="327">
        <f t="shared" ref="AA34:AB34" si="38">AA35+AA36</f>
        <v>850000</v>
      </c>
      <c r="AB34" s="328">
        <f t="shared" si="38"/>
        <v>850000</v>
      </c>
      <c r="AC34" s="329"/>
      <c r="AD34" s="330"/>
      <c r="AE34" s="331"/>
      <c r="AF34" s="329"/>
      <c r="AG34" s="332"/>
      <c r="AH34" s="333"/>
      <c r="AI34" s="301">
        <f>I34-P34-S34-V34-Y34-AB34</f>
        <v>288600</v>
      </c>
    </row>
    <row r="35" spans="1:35" s="133" customFormat="1" ht="21" customHeight="1" x14ac:dyDescent="0.3">
      <c r="A35" s="60"/>
      <c r="B35" s="57" t="s">
        <v>20</v>
      </c>
      <c r="C35" s="33"/>
      <c r="D35" s="28"/>
      <c r="E35" s="28"/>
      <c r="F35" s="34"/>
      <c r="G35" s="28"/>
      <c r="H35" s="138"/>
      <c r="I35" s="92"/>
      <c r="J35" s="85"/>
      <c r="K35" s="34"/>
      <c r="L35" s="35"/>
      <c r="M35" s="92"/>
      <c r="N35" s="35">
        <f>N38</f>
        <v>0</v>
      </c>
      <c r="O35" s="35">
        <f>O38</f>
        <v>0</v>
      </c>
      <c r="P35" s="35">
        <f>P38</f>
        <v>0</v>
      </c>
      <c r="Q35" s="186">
        <f>Q38</f>
        <v>450000</v>
      </c>
      <c r="R35" s="186">
        <f t="shared" ref="R35:S35" si="39">R38</f>
        <v>-450000</v>
      </c>
      <c r="S35" s="296">
        <f t="shared" si="39"/>
        <v>0</v>
      </c>
      <c r="T35" s="189">
        <v>700000</v>
      </c>
      <c r="U35" s="37">
        <v>-700000</v>
      </c>
      <c r="V35" s="203">
        <f>T35+U35</f>
        <v>0</v>
      </c>
      <c r="W35" s="189">
        <v>274236</v>
      </c>
      <c r="X35" s="37">
        <v>300000</v>
      </c>
      <c r="Y35" s="203">
        <f>W35+X35</f>
        <v>574236</v>
      </c>
      <c r="Z35" s="189"/>
      <c r="AA35" s="37">
        <v>850000</v>
      </c>
      <c r="AB35" s="203">
        <f>Z35+AA35</f>
        <v>850000</v>
      </c>
      <c r="AC35" s="198"/>
      <c r="AD35" s="113"/>
      <c r="AE35" s="216"/>
      <c r="AF35" s="198"/>
      <c r="AG35" s="232"/>
      <c r="AH35" s="235"/>
    </row>
    <row r="36" spans="1:35" ht="21" customHeight="1" x14ac:dyDescent="0.3">
      <c r="A36" s="59"/>
      <c r="B36" s="3" t="s">
        <v>21</v>
      </c>
      <c r="C36" s="46"/>
      <c r="D36" s="14"/>
      <c r="E36" s="14"/>
      <c r="F36" s="47"/>
      <c r="G36" s="14"/>
      <c r="H36" s="140"/>
      <c r="I36" s="91"/>
      <c r="J36" s="84"/>
      <c r="K36" s="47"/>
      <c r="L36" s="48"/>
      <c r="M36" s="91"/>
      <c r="N36" s="84">
        <f t="shared" ref="N36:S36" si="40">N37</f>
        <v>16252</v>
      </c>
      <c r="O36" s="48">
        <f t="shared" si="40"/>
        <v>-16252</v>
      </c>
      <c r="P36" s="91">
        <f t="shared" si="40"/>
        <v>0</v>
      </c>
      <c r="Q36" s="185">
        <f t="shared" si="40"/>
        <v>39194</v>
      </c>
      <c r="R36" s="121">
        <f t="shared" si="40"/>
        <v>16252</v>
      </c>
      <c r="S36" s="196">
        <f t="shared" si="40"/>
        <v>55446</v>
      </c>
      <c r="T36" s="190"/>
      <c r="U36" s="50"/>
      <c r="V36" s="204"/>
      <c r="W36" s="197"/>
      <c r="X36" s="111"/>
      <c r="Y36" s="215"/>
      <c r="Z36" s="197"/>
      <c r="AA36" s="111"/>
      <c r="AB36" s="215"/>
      <c r="AC36" s="178"/>
      <c r="AD36" s="112"/>
      <c r="AE36" s="184"/>
      <c r="AF36" s="178"/>
      <c r="AG36" s="2"/>
      <c r="AH36" s="96"/>
    </row>
    <row r="37" spans="1:35" ht="21" customHeight="1" x14ac:dyDescent="0.3">
      <c r="A37" s="59"/>
      <c r="B37" s="6" t="s">
        <v>35</v>
      </c>
      <c r="C37" s="46"/>
      <c r="D37" s="14"/>
      <c r="E37" s="14"/>
      <c r="F37" s="47"/>
      <c r="G37" s="14"/>
      <c r="H37" s="140"/>
      <c r="I37" s="91"/>
      <c r="J37" s="84"/>
      <c r="K37" s="47"/>
      <c r="L37" s="48"/>
      <c r="M37" s="91"/>
      <c r="N37" s="84">
        <f>25682-9430</f>
        <v>16252</v>
      </c>
      <c r="O37" s="48">
        <v>-16252</v>
      </c>
      <c r="P37" s="91">
        <f>N37+O37</f>
        <v>0</v>
      </c>
      <c r="Q37" s="185">
        <f>29764+9430</f>
        <v>39194</v>
      </c>
      <c r="R37" s="121">
        <v>16252</v>
      </c>
      <c r="S37" s="91">
        <f>Q37+R37</f>
        <v>55446</v>
      </c>
      <c r="T37" s="190"/>
      <c r="U37" s="50"/>
      <c r="V37" s="204"/>
      <c r="W37" s="197"/>
      <c r="X37" s="111"/>
      <c r="Y37" s="215"/>
      <c r="Z37" s="197"/>
      <c r="AA37" s="111"/>
      <c r="AB37" s="215"/>
      <c r="AC37" s="178"/>
      <c r="AD37" s="112"/>
      <c r="AE37" s="184"/>
      <c r="AF37" s="178"/>
      <c r="AG37" s="2"/>
      <c r="AH37" s="96"/>
    </row>
    <row r="38" spans="1:35" ht="34.5" customHeight="1" x14ac:dyDescent="0.3">
      <c r="A38" s="59"/>
      <c r="B38" s="6" t="s">
        <v>101</v>
      </c>
      <c r="C38" s="46"/>
      <c r="D38" s="14"/>
      <c r="E38" s="14"/>
      <c r="F38" s="47"/>
      <c r="G38" s="14"/>
      <c r="H38" s="140"/>
      <c r="I38" s="91"/>
      <c r="J38" s="84"/>
      <c r="K38" s="47"/>
      <c r="L38" s="48"/>
      <c r="M38" s="91"/>
      <c r="N38" s="84"/>
      <c r="O38" s="48"/>
      <c r="P38" s="91">
        <f>O38+N38</f>
        <v>0</v>
      </c>
      <c r="Q38" s="185">
        <v>450000</v>
      </c>
      <c r="R38" s="121">
        <v>-450000</v>
      </c>
      <c r="S38" s="91">
        <f>Q38+R38</f>
        <v>0</v>
      </c>
      <c r="T38" s="190"/>
      <c r="U38" s="50"/>
      <c r="V38" s="204"/>
      <c r="W38" s="197">
        <v>274236</v>
      </c>
      <c r="X38" s="111">
        <v>300000</v>
      </c>
      <c r="Y38" s="215">
        <f>W38+X38</f>
        <v>574236</v>
      </c>
      <c r="Z38" s="197"/>
      <c r="AA38" s="111">
        <v>850000</v>
      </c>
      <c r="AB38" s="215">
        <f>Z38+AA38</f>
        <v>850000</v>
      </c>
      <c r="AC38" s="178"/>
      <c r="AD38" s="112"/>
      <c r="AE38" s="184"/>
      <c r="AF38" s="178"/>
      <c r="AG38" s="2"/>
      <c r="AH38" s="96"/>
    </row>
    <row r="39" spans="1:35" ht="119.25" customHeight="1" x14ac:dyDescent="0.3">
      <c r="A39" s="59">
        <v>19</v>
      </c>
      <c r="B39" s="43" t="s">
        <v>55</v>
      </c>
      <c r="C39" s="46"/>
      <c r="D39" s="14" t="s">
        <v>49</v>
      </c>
      <c r="E39" s="14">
        <v>19.8</v>
      </c>
      <c r="F39" s="47"/>
      <c r="G39" s="14"/>
      <c r="H39" s="140"/>
      <c r="I39" s="170">
        <v>1572854.8</v>
      </c>
      <c r="J39" s="84"/>
      <c r="K39" s="47"/>
      <c r="L39" s="48"/>
      <c r="M39" s="91">
        <f t="shared" ref="M39:AB39" si="41">M40+M41</f>
        <v>0</v>
      </c>
      <c r="N39" s="84">
        <f t="shared" si="41"/>
        <v>0</v>
      </c>
      <c r="O39" s="48">
        <f t="shared" si="41"/>
        <v>0</v>
      </c>
      <c r="P39" s="91">
        <f t="shared" si="41"/>
        <v>0</v>
      </c>
      <c r="Q39" s="84">
        <f t="shared" si="41"/>
        <v>17017.599999999999</v>
      </c>
      <c r="R39" s="48">
        <f t="shared" si="41"/>
        <v>0</v>
      </c>
      <c r="S39" s="91">
        <f t="shared" ref="S39" si="42">Q39+R39</f>
        <v>17017.599999999999</v>
      </c>
      <c r="T39" s="84">
        <f t="shared" si="41"/>
        <v>400000</v>
      </c>
      <c r="U39" s="48">
        <f t="shared" si="41"/>
        <v>-400000</v>
      </c>
      <c r="V39" s="91">
        <f t="shared" si="41"/>
        <v>0</v>
      </c>
      <c r="W39" s="84">
        <f t="shared" si="41"/>
        <v>502767.6</v>
      </c>
      <c r="X39" s="84">
        <f t="shared" si="41"/>
        <v>0</v>
      </c>
      <c r="Y39" s="311">
        <f t="shared" si="41"/>
        <v>502767.6</v>
      </c>
      <c r="Z39" s="84">
        <f t="shared" si="41"/>
        <v>371232.4</v>
      </c>
      <c r="AA39" s="84">
        <f t="shared" si="41"/>
        <v>0</v>
      </c>
      <c r="AB39" s="311">
        <f t="shared" si="41"/>
        <v>371232.4</v>
      </c>
      <c r="AC39" s="190">
        <f>AC40+AC41</f>
        <v>0</v>
      </c>
      <c r="AD39" s="190">
        <f t="shared" ref="AD39:AE39" si="43">AD40+AD41</f>
        <v>401815.7</v>
      </c>
      <c r="AE39" s="312">
        <f t="shared" si="43"/>
        <v>401815.7</v>
      </c>
      <c r="AF39" s="190"/>
      <c r="AG39" s="76"/>
      <c r="AH39" s="96"/>
      <c r="AI39" s="40">
        <f>I39-S39-V39-Y39-AB39-AE39</f>
        <v>280021.50000000006</v>
      </c>
    </row>
    <row r="40" spans="1:35" s="58" customFormat="1" ht="30.75" customHeight="1" x14ac:dyDescent="0.3">
      <c r="A40" s="60"/>
      <c r="B40" s="57" t="s">
        <v>20</v>
      </c>
      <c r="C40" s="33"/>
      <c r="D40" s="28"/>
      <c r="E40" s="28"/>
      <c r="F40" s="34"/>
      <c r="G40" s="28"/>
      <c r="H40" s="138"/>
      <c r="I40" s="92"/>
      <c r="J40" s="85"/>
      <c r="K40" s="34"/>
      <c r="L40" s="35"/>
      <c r="M40" s="92">
        <v>0</v>
      </c>
      <c r="N40" s="85"/>
      <c r="O40" s="35"/>
      <c r="P40" s="92">
        <f>N40+O40</f>
        <v>0</v>
      </c>
      <c r="Q40" s="85"/>
      <c r="R40" s="35"/>
      <c r="S40" s="92">
        <f>Q40+R40</f>
        <v>0</v>
      </c>
      <c r="T40" s="189">
        <v>400000</v>
      </c>
      <c r="U40" s="37">
        <v>-400000</v>
      </c>
      <c r="V40" s="203">
        <f>T40+U40</f>
        <v>0</v>
      </c>
      <c r="W40" s="189">
        <v>502767.6</v>
      </c>
      <c r="X40" s="37"/>
      <c r="Y40" s="203">
        <f>W40+X40</f>
        <v>502767.6</v>
      </c>
      <c r="Z40" s="189">
        <f>371882.4-650</f>
        <v>371232.4</v>
      </c>
      <c r="AA40" s="37"/>
      <c r="AB40" s="203">
        <f>Z40+AA40</f>
        <v>371232.4</v>
      </c>
      <c r="AC40" s="198"/>
      <c r="AD40" s="37">
        <v>401815.7</v>
      </c>
      <c r="AE40" s="203">
        <f>AC40+AD40</f>
        <v>401815.7</v>
      </c>
      <c r="AF40" s="198"/>
      <c r="AG40" s="198"/>
      <c r="AH40" s="216"/>
    </row>
    <row r="41" spans="1:35" ht="21" customHeight="1" x14ac:dyDescent="0.3">
      <c r="A41" s="59"/>
      <c r="B41" s="3" t="s">
        <v>21</v>
      </c>
      <c r="C41" s="46"/>
      <c r="D41" s="14"/>
      <c r="E41" s="14"/>
      <c r="F41" s="47"/>
      <c r="G41" s="14"/>
      <c r="H41" s="140"/>
      <c r="I41" s="91"/>
      <c r="J41" s="84"/>
      <c r="K41" s="47"/>
      <c r="L41" s="48"/>
      <c r="M41" s="91">
        <f t="shared" ref="M41" si="44">M42</f>
        <v>0</v>
      </c>
      <c r="N41" s="84">
        <f>N42+N43</f>
        <v>0</v>
      </c>
      <c r="O41" s="48">
        <f t="shared" ref="O41:P41" si="45">O42+O43</f>
        <v>0</v>
      </c>
      <c r="P41" s="91">
        <f t="shared" si="45"/>
        <v>0</v>
      </c>
      <c r="Q41" s="84">
        <v>17017.599999999999</v>
      </c>
      <c r="R41" s="48"/>
      <c r="S41" s="91">
        <f>Q41+R41</f>
        <v>17017.599999999999</v>
      </c>
      <c r="T41" s="190"/>
      <c r="U41" s="50"/>
      <c r="V41" s="204"/>
      <c r="W41" s="178"/>
      <c r="X41" s="112"/>
      <c r="Y41" s="184"/>
      <c r="Z41" s="178"/>
      <c r="AA41" s="112"/>
      <c r="AB41" s="184"/>
      <c r="AC41" s="178"/>
      <c r="AD41" s="112"/>
      <c r="AE41" s="184"/>
      <c r="AF41" s="178"/>
      <c r="AG41" s="2"/>
      <c r="AH41" s="96"/>
    </row>
    <row r="42" spans="1:35" ht="21" customHeight="1" x14ac:dyDescent="0.3">
      <c r="A42" s="59"/>
      <c r="B42" s="6" t="s">
        <v>35</v>
      </c>
      <c r="C42" s="46"/>
      <c r="D42" s="14"/>
      <c r="E42" s="14"/>
      <c r="F42" s="47"/>
      <c r="G42" s="14"/>
      <c r="H42" s="140"/>
      <c r="I42" s="91"/>
      <c r="J42" s="84"/>
      <c r="K42" s="47"/>
      <c r="L42" s="48"/>
      <c r="M42" s="91">
        <v>0</v>
      </c>
      <c r="N42" s="84">
        <f>650-650</f>
        <v>0</v>
      </c>
      <c r="O42" s="48"/>
      <c r="P42" s="91">
        <f>N42+O42</f>
        <v>0</v>
      </c>
      <c r="Q42" s="84">
        <v>17017.599999999999</v>
      </c>
      <c r="R42" s="48"/>
      <c r="S42" s="91">
        <f t="shared" ref="S42:S44" si="46">Q42+R42</f>
        <v>17017.599999999999</v>
      </c>
      <c r="T42" s="190"/>
      <c r="U42" s="50"/>
      <c r="V42" s="204"/>
      <c r="W42" s="178"/>
      <c r="X42" s="112"/>
      <c r="Y42" s="184"/>
      <c r="Z42" s="178"/>
      <c r="AA42" s="112"/>
      <c r="AB42" s="184"/>
      <c r="AC42" s="178"/>
      <c r="AD42" s="112"/>
      <c r="AE42" s="184"/>
      <c r="AF42" s="178"/>
      <c r="AG42" s="2"/>
      <c r="AH42" s="96"/>
    </row>
    <row r="43" spans="1:35" ht="21" customHeight="1" x14ac:dyDescent="0.3">
      <c r="A43" s="59"/>
      <c r="B43" s="6" t="s">
        <v>36</v>
      </c>
      <c r="C43" s="46"/>
      <c r="D43" s="14"/>
      <c r="E43" s="14"/>
      <c r="F43" s="47"/>
      <c r="G43" s="14"/>
      <c r="H43" s="140"/>
      <c r="I43" s="91"/>
      <c r="J43" s="84"/>
      <c r="K43" s="47"/>
      <c r="L43" s="48"/>
      <c r="M43" s="91">
        <v>0</v>
      </c>
      <c r="N43" s="84"/>
      <c r="O43" s="48"/>
      <c r="P43" s="91"/>
      <c r="Q43" s="84"/>
      <c r="R43" s="48"/>
      <c r="S43" s="91">
        <f t="shared" si="46"/>
        <v>0</v>
      </c>
      <c r="T43" s="190">
        <v>400000</v>
      </c>
      <c r="U43" s="50">
        <v>-400000</v>
      </c>
      <c r="V43" s="204">
        <f>T43+U43</f>
        <v>0</v>
      </c>
      <c r="W43" s="197">
        <v>502767.6</v>
      </c>
      <c r="X43" s="111"/>
      <c r="Y43" s="215">
        <f>W43+X43</f>
        <v>502767.6</v>
      </c>
      <c r="Z43" s="197">
        <f>371882.4-650</f>
        <v>371232.4</v>
      </c>
      <c r="AA43" s="111"/>
      <c r="AB43" s="215">
        <f>Z43+AA43</f>
        <v>371232.4</v>
      </c>
      <c r="AC43" s="178"/>
      <c r="AD43" s="112">
        <v>401815.7</v>
      </c>
      <c r="AE43" s="184">
        <f>AC43+AD43</f>
        <v>401815.7</v>
      </c>
      <c r="AF43" s="178"/>
      <c r="AG43" s="2"/>
      <c r="AH43" s="96"/>
    </row>
    <row r="44" spans="1:35" ht="111.6" customHeight="1" x14ac:dyDescent="0.3">
      <c r="A44" s="59">
        <v>20</v>
      </c>
      <c r="B44" s="6" t="s">
        <v>38</v>
      </c>
      <c r="C44" s="46"/>
      <c r="D44" s="14" t="s">
        <v>50</v>
      </c>
      <c r="E44" s="14">
        <v>8.5</v>
      </c>
      <c r="F44" s="47"/>
      <c r="G44" s="14"/>
      <c r="H44" s="140"/>
      <c r="I44" s="91">
        <f>403800+1568.3+5075.1</f>
        <v>410443.39999999997</v>
      </c>
      <c r="J44" s="84"/>
      <c r="K44" s="47"/>
      <c r="L44" s="48"/>
      <c r="M44" s="91"/>
      <c r="N44" s="84"/>
      <c r="O44" s="48"/>
      <c r="P44" s="91"/>
      <c r="Q44" s="84">
        <f>Q45+Q46</f>
        <v>0</v>
      </c>
      <c r="R44" s="48"/>
      <c r="S44" s="91">
        <f t="shared" si="46"/>
        <v>0</v>
      </c>
      <c r="T44" s="84">
        <f>T45+T46</f>
        <v>0</v>
      </c>
      <c r="U44" s="48"/>
      <c r="V44" s="91"/>
      <c r="W44" s="84">
        <f t="shared" ref="W44:AH44" si="47">W45+W46</f>
        <v>1568.3</v>
      </c>
      <c r="X44" s="84">
        <f t="shared" si="47"/>
        <v>0</v>
      </c>
      <c r="Y44" s="91">
        <f t="shared" si="47"/>
        <v>1568.3</v>
      </c>
      <c r="Z44" s="84">
        <f t="shared" si="47"/>
        <v>5075.1000000000004</v>
      </c>
      <c r="AA44" s="84">
        <f t="shared" si="47"/>
        <v>0</v>
      </c>
      <c r="AB44" s="91">
        <f t="shared" si="47"/>
        <v>5075.1000000000004</v>
      </c>
      <c r="AC44" s="84">
        <f t="shared" si="47"/>
        <v>200000</v>
      </c>
      <c r="AD44" s="84">
        <f t="shared" si="47"/>
        <v>0</v>
      </c>
      <c r="AE44" s="91">
        <f t="shared" si="47"/>
        <v>200000</v>
      </c>
      <c r="AF44" s="84">
        <f t="shared" si="47"/>
        <v>203800</v>
      </c>
      <c r="AG44" s="84">
        <f t="shared" si="47"/>
        <v>0</v>
      </c>
      <c r="AH44" s="91">
        <f t="shared" si="47"/>
        <v>203800</v>
      </c>
      <c r="AI44" s="40">
        <f>I44-M44-P44-S44-V44-Y44-AB44-AE44-AH44</f>
        <v>0</v>
      </c>
    </row>
    <row r="45" spans="1:35" s="58" customFormat="1" ht="24" customHeight="1" x14ac:dyDescent="0.3">
      <c r="A45" s="60"/>
      <c r="B45" s="57" t="s">
        <v>20</v>
      </c>
      <c r="C45" s="33"/>
      <c r="D45" s="28"/>
      <c r="E45" s="28"/>
      <c r="F45" s="34"/>
      <c r="G45" s="28"/>
      <c r="H45" s="138"/>
      <c r="I45" s="92"/>
      <c r="J45" s="85"/>
      <c r="K45" s="34"/>
      <c r="L45" s="35"/>
      <c r="M45" s="92"/>
      <c r="N45" s="85"/>
      <c r="O45" s="35"/>
      <c r="P45" s="92"/>
      <c r="Q45" s="85"/>
      <c r="R45" s="35"/>
      <c r="S45" s="92">
        <f>Q45+R45</f>
        <v>0</v>
      </c>
      <c r="T45" s="189"/>
      <c r="U45" s="37"/>
      <c r="V45" s="203"/>
      <c r="W45" s="189"/>
      <c r="X45" s="37"/>
      <c r="Y45" s="203"/>
      <c r="Z45" s="189"/>
      <c r="AA45" s="37"/>
      <c r="AB45" s="203"/>
      <c r="AC45" s="189">
        <f>AC48</f>
        <v>200000</v>
      </c>
      <c r="AD45" s="189">
        <f t="shared" ref="AD45:AE45" si="48">AD48</f>
        <v>0</v>
      </c>
      <c r="AE45" s="203">
        <f t="shared" si="48"/>
        <v>200000</v>
      </c>
      <c r="AF45" s="189">
        <f>AF48</f>
        <v>203800</v>
      </c>
      <c r="AG45" s="189">
        <f t="shared" ref="AG45:AH45" si="49">AG48</f>
        <v>0</v>
      </c>
      <c r="AH45" s="203">
        <f t="shared" si="49"/>
        <v>203800</v>
      </c>
    </row>
    <row r="46" spans="1:35" ht="20.25" customHeight="1" x14ac:dyDescent="0.3">
      <c r="A46" s="59"/>
      <c r="B46" s="3" t="s">
        <v>21</v>
      </c>
      <c r="C46" s="46"/>
      <c r="D46" s="14"/>
      <c r="E46" s="14"/>
      <c r="F46" s="47"/>
      <c r="G46" s="14"/>
      <c r="H46" s="140"/>
      <c r="I46" s="91"/>
      <c r="J46" s="84"/>
      <c r="K46" s="47"/>
      <c r="L46" s="48"/>
      <c r="M46" s="91"/>
      <c r="N46" s="84"/>
      <c r="O46" s="48"/>
      <c r="P46" s="91"/>
      <c r="Q46" s="84"/>
      <c r="R46" s="48"/>
      <c r="S46" s="91">
        <f>Q46+R46</f>
        <v>0</v>
      </c>
      <c r="T46" s="84"/>
      <c r="U46" s="48"/>
      <c r="V46" s="91"/>
      <c r="W46" s="84">
        <f>W47</f>
        <v>1568.3</v>
      </c>
      <c r="X46" s="84">
        <f t="shared" ref="X46:Y46" si="50">X47</f>
        <v>0</v>
      </c>
      <c r="Y46" s="91">
        <f t="shared" si="50"/>
        <v>1568.3</v>
      </c>
      <c r="Z46" s="190">
        <f>Z47</f>
        <v>5075.1000000000004</v>
      </c>
      <c r="AA46" s="190">
        <f t="shared" ref="AA46:AB46" si="51">AA47</f>
        <v>0</v>
      </c>
      <c r="AB46" s="204">
        <f t="shared" si="51"/>
        <v>5075.1000000000004</v>
      </c>
      <c r="AC46" s="190"/>
      <c r="AD46" s="50"/>
      <c r="AE46" s="204"/>
      <c r="AF46" s="178"/>
      <c r="AG46" s="2"/>
      <c r="AH46" s="96"/>
    </row>
    <row r="47" spans="1:35" ht="21" customHeight="1" x14ac:dyDescent="0.3">
      <c r="A47" s="59"/>
      <c r="B47" s="6" t="s">
        <v>35</v>
      </c>
      <c r="C47" s="46"/>
      <c r="D47" s="14"/>
      <c r="E47" s="14"/>
      <c r="F47" s="47"/>
      <c r="G47" s="14"/>
      <c r="H47" s="140"/>
      <c r="I47" s="91"/>
      <c r="J47" s="84"/>
      <c r="K47" s="47"/>
      <c r="L47" s="48"/>
      <c r="M47" s="91"/>
      <c r="N47" s="84"/>
      <c r="O47" s="48"/>
      <c r="P47" s="91"/>
      <c r="Q47" s="84"/>
      <c r="R47" s="48"/>
      <c r="S47" s="91">
        <f t="shared" ref="S47:S48" si="52">Q47+R47</f>
        <v>0</v>
      </c>
      <c r="T47" s="84"/>
      <c r="U47" s="48"/>
      <c r="V47" s="91"/>
      <c r="W47" s="84">
        <v>1568.3</v>
      </c>
      <c r="X47" s="48"/>
      <c r="Y47" s="91">
        <f>W47+X47</f>
        <v>1568.3</v>
      </c>
      <c r="Z47" s="190">
        <v>5075.1000000000004</v>
      </c>
      <c r="AA47" s="50"/>
      <c r="AB47" s="204">
        <f>Z47+AA47</f>
        <v>5075.1000000000004</v>
      </c>
      <c r="AC47" s="190"/>
      <c r="AD47" s="50"/>
      <c r="AE47" s="204"/>
      <c r="AF47" s="178"/>
      <c r="AG47" s="2"/>
      <c r="AH47" s="96"/>
    </row>
    <row r="48" spans="1:35" ht="21" customHeight="1" x14ac:dyDescent="0.3">
      <c r="A48" s="59"/>
      <c r="B48" s="6" t="s">
        <v>36</v>
      </c>
      <c r="C48" s="46"/>
      <c r="D48" s="14"/>
      <c r="E48" s="14"/>
      <c r="F48" s="47"/>
      <c r="G48" s="14"/>
      <c r="H48" s="140"/>
      <c r="I48" s="91"/>
      <c r="J48" s="84"/>
      <c r="K48" s="47"/>
      <c r="L48" s="48"/>
      <c r="M48" s="91"/>
      <c r="N48" s="84"/>
      <c r="O48" s="48"/>
      <c r="P48" s="91"/>
      <c r="Q48" s="84"/>
      <c r="R48" s="48"/>
      <c r="S48" s="91">
        <f t="shared" si="52"/>
        <v>0</v>
      </c>
      <c r="T48" s="190"/>
      <c r="U48" s="50"/>
      <c r="V48" s="204"/>
      <c r="W48" s="178"/>
      <c r="X48" s="112"/>
      <c r="Y48" s="184"/>
      <c r="Z48" s="178"/>
      <c r="AA48" s="112"/>
      <c r="AB48" s="184"/>
      <c r="AC48" s="178">
        <v>200000</v>
      </c>
      <c r="AD48" s="112"/>
      <c r="AE48" s="184">
        <f>AC48+AD48</f>
        <v>200000</v>
      </c>
      <c r="AF48" s="178">
        <v>203800</v>
      </c>
      <c r="AG48" s="2"/>
      <c r="AH48" s="184">
        <f>AF48+AG48</f>
        <v>203800</v>
      </c>
    </row>
    <row r="49" spans="1:35" ht="77.25" customHeight="1" x14ac:dyDescent="0.3">
      <c r="A49" s="59"/>
      <c r="B49" s="6" t="s">
        <v>84</v>
      </c>
      <c r="C49" s="46" t="s">
        <v>16</v>
      </c>
      <c r="D49" s="14">
        <v>2024</v>
      </c>
      <c r="E49" s="14">
        <v>9.8190000000000008</v>
      </c>
      <c r="F49" s="47"/>
      <c r="G49" s="14"/>
      <c r="H49" s="140"/>
      <c r="I49" s="91">
        <v>763243</v>
      </c>
      <c r="J49" s="84"/>
      <c r="K49" s="47"/>
      <c r="L49" s="48"/>
      <c r="M49" s="91"/>
      <c r="N49" s="84"/>
      <c r="O49" s="48"/>
      <c r="P49" s="91"/>
      <c r="Q49" s="84"/>
      <c r="R49" s="48"/>
      <c r="S49" s="91"/>
      <c r="T49" s="190">
        <f>T50+T51</f>
        <v>9570</v>
      </c>
      <c r="U49" s="190">
        <f>U50+U51</f>
        <v>-9570</v>
      </c>
      <c r="V49" s="204">
        <f>V50+V51</f>
        <v>0</v>
      </c>
      <c r="W49" s="290">
        <f>W50+W51</f>
        <v>446909</v>
      </c>
      <c r="X49" s="290">
        <f t="shared" ref="X49:Y49" si="53">X50+X51</f>
        <v>-446909</v>
      </c>
      <c r="Y49" s="291">
        <f t="shared" si="53"/>
        <v>0</v>
      </c>
      <c r="Z49" s="290">
        <f>Z50+Z51</f>
        <v>306664</v>
      </c>
      <c r="AA49" s="290">
        <f t="shared" ref="AA49:AB49" si="54">AA50+AA51</f>
        <v>-306664</v>
      </c>
      <c r="AB49" s="291">
        <f t="shared" si="54"/>
        <v>0</v>
      </c>
      <c r="AC49" s="178"/>
      <c r="AD49" s="112"/>
      <c r="AE49" s="184"/>
      <c r="AF49" s="178"/>
      <c r="AG49" s="2"/>
      <c r="AH49" s="184"/>
    </row>
    <row r="50" spans="1:35" ht="21" customHeight="1" x14ac:dyDescent="0.3">
      <c r="A50" s="59"/>
      <c r="B50" s="26" t="s">
        <v>22</v>
      </c>
      <c r="C50" s="33"/>
      <c r="D50" s="28"/>
      <c r="E50" s="28"/>
      <c r="F50" s="34"/>
      <c r="G50" s="28"/>
      <c r="H50" s="138"/>
      <c r="I50" s="92"/>
      <c r="J50" s="85"/>
      <c r="K50" s="34"/>
      <c r="L50" s="35"/>
      <c r="M50" s="92"/>
      <c r="N50" s="85"/>
      <c r="O50" s="35"/>
      <c r="P50" s="92"/>
      <c r="Q50" s="85"/>
      <c r="R50" s="35"/>
      <c r="S50" s="92"/>
      <c r="T50" s="189"/>
      <c r="U50" s="37"/>
      <c r="V50" s="203"/>
      <c r="W50" s="198"/>
      <c r="X50" s="198"/>
      <c r="Y50" s="216"/>
      <c r="Z50" s="198"/>
      <c r="AA50" s="198"/>
      <c r="AB50" s="216"/>
      <c r="AC50" s="198"/>
      <c r="AD50" s="113"/>
      <c r="AE50" s="216"/>
      <c r="AF50" s="198"/>
      <c r="AG50" s="232"/>
      <c r="AH50" s="216"/>
    </row>
    <row r="51" spans="1:35" ht="21" customHeight="1" x14ac:dyDescent="0.3">
      <c r="A51" s="59"/>
      <c r="B51" s="6" t="s">
        <v>23</v>
      </c>
      <c r="C51" s="46"/>
      <c r="D51" s="14"/>
      <c r="E51" s="14"/>
      <c r="F51" s="47"/>
      <c r="G51" s="14"/>
      <c r="H51" s="140"/>
      <c r="I51" s="91"/>
      <c r="J51" s="84"/>
      <c r="K51" s="47"/>
      <c r="L51" s="48"/>
      <c r="M51" s="91"/>
      <c r="N51" s="84"/>
      <c r="O51" s="48"/>
      <c r="P51" s="91"/>
      <c r="Q51" s="84"/>
      <c r="R51" s="48"/>
      <c r="S51" s="91"/>
      <c r="T51" s="190">
        <f>T52+T53</f>
        <v>9570</v>
      </c>
      <c r="U51" s="190">
        <f t="shared" ref="U51:V51" si="55">U52+U53</f>
        <v>-9570</v>
      </c>
      <c r="V51" s="204">
        <f t="shared" si="55"/>
        <v>0</v>
      </c>
      <c r="W51" s="178">
        <f>W52+W53</f>
        <v>446909</v>
      </c>
      <c r="X51" s="178">
        <f t="shared" ref="X51:Y51" si="56">X52+X53</f>
        <v>-446909</v>
      </c>
      <c r="Y51" s="184">
        <f t="shared" si="56"/>
        <v>0</v>
      </c>
      <c r="Z51" s="178">
        <f>Z52+Z53</f>
        <v>306664</v>
      </c>
      <c r="AA51" s="178">
        <f t="shared" ref="AA51:AB51" si="57">AA52+AA53</f>
        <v>-306664</v>
      </c>
      <c r="AB51" s="184">
        <f t="shared" si="57"/>
        <v>0</v>
      </c>
      <c r="AC51" s="178"/>
      <c r="AD51" s="112"/>
      <c r="AE51" s="184"/>
      <c r="AF51" s="178"/>
      <c r="AG51" s="2"/>
      <c r="AH51" s="184"/>
    </row>
    <row r="52" spans="1:35" ht="21" customHeight="1" x14ac:dyDescent="0.3">
      <c r="A52" s="59"/>
      <c r="B52" s="6" t="s">
        <v>35</v>
      </c>
      <c r="C52" s="46"/>
      <c r="D52" s="14"/>
      <c r="E52" s="14"/>
      <c r="F52" s="47"/>
      <c r="G52" s="14"/>
      <c r="H52" s="140"/>
      <c r="I52" s="91"/>
      <c r="J52" s="84"/>
      <c r="K52" s="47"/>
      <c r="L52" s="48"/>
      <c r="M52" s="91"/>
      <c r="N52" s="84"/>
      <c r="O52" s="48"/>
      <c r="P52" s="91"/>
      <c r="Q52" s="84"/>
      <c r="R52" s="48"/>
      <c r="S52" s="91"/>
      <c r="T52" s="190">
        <v>9570</v>
      </c>
      <c r="U52" s="50">
        <v>-9570</v>
      </c>
      <c r="V52" s="204">
        <f>T52+U52</f>
        <v>0</v>
      </c>
      <c r="W52" s="178"/>
      <c r="X52" s="178"/>
      <c r="Y52" s="184"/>
      <c r="Z52" s="178"/>
      <c r="AA52" s="178"/>
      <c r="AB52" s="184"/>
      <c r="AC52" s="178"/>
      <c r="AD52" s="112"/>
      <c r="AE52" s="184"/>
      <c r="AF52" s="178"/>
      <c r="AG52" s="2"/>
      <c r="AH52" s="184"/>
    </row>
    <row r="53" spans="1:35" ht="21" customHeight="1" x14ac:dyDescent="0.3">
      <c r="A53" s="59"/>
      <c r="B53" s="6" t="s">
        <v>36</v>
      </c>
      <c r="C53" s="46"/>
      <c r="D53" s="14"/>
      <c r="E53" s="14"/>
      <c r="F53" s="47"/>
      <c r="G53" s="14"/>
      <c r="H53" s="140"/>
      <c r="I53" s="91"/>
      <c r="J53" s="84"/>
      <c r="K53" s="47"/>
      <c r="L53" s="48"/>
      <c r="M53" s="91"/>
      <c r="N53" s="84"/>
      <c r="O53" s="48"/>
      <c r="P53" s="91"/>
      <c r="Q53" s="84"/>
      <c r="R53" s="48"/>
      <c r="S53" s="91"/>
      <c r="T53" s="190"/>
      <c r="U53" s="50"/>
      <c r="V53" s="204"/>
      <c r="W53" s="178">
        <v>446909</v>
      </c>
      <c r="X53" s="178">
        <v>-446909</v>
      </c>
      <c r="Y53" s="184">
        <f>W53+X53</f>
        <v>0</v>
      </c>
      <c r="Z53" s="178">
        <v>306664</v>
      </c>
      <c r="AA53" s="178">
        <v>-306664</v>
      </c>
      <c r="AB53" s="184">
        <f>Z53+AA53</f>
        <v>0</v>
      </c>
      <c r="AC53" s="178"/>
      <c r="AD53" s="112"/>
      <c r="AE53" s="184"/>
      <c r="AF53" s="178"/>
      <c r="AG53" s="2"/>
      <c r="AH53" s="184"/>
    </row>
    <row r="54" spans="1:35" ht="77.25" customHeight="1" x14ac:dyDescent="0.3">
      <c r="A54" s="59">
        <v>23</v>
      </c>
      <c r="B54" s="43" t="s">
        <v>32</v>
      </c>
      <c r="C54" s="8" t="s">
        <v>17</v>
      </c>
      <c r="D54" s="17" t="s">
        <v>67</v>
      </c>
      <c r="E54" s="18">
        <v>11.63</v>
      </c>
      <c r="F54" s="18">
        <v>77.25</v>
      </c>
      <c r="G54" s="18">
        <v>7.7249999999999999E-2</v>
      </c>
      <c r="H54" s="141"/>
      <c r="I54" s="109">
        <f>763342.6+12000</f>
        <v>775342.6</v>
      </c>
      <c r="J54" s="44">
        <v>11.63</v>
      </c>
      <c r="K54" s="18">
        <v>77.25</v>
      </c>
      <c r="L54" s="31">
        <f>Q54+T54</f>
        <v>12000</v>
      </c>
      <c r="M54" s="179"/>
      <c r="N54" s="174"/>
      <c r="O54" s="71"/>
      <c r="P54" s="179"/>
      <c r="Q54" s="95">
        <f>Q55+Q56</f>
        <v>0</v>
      </c>
      <c r="R54" s="69"/>
      <c r="S54" s="93">
        <f t="shared" ref="S54" si="58">Q54+R54</f>
        <v>0</v>
      </c>
      <c r="T54" s="95">
        <f>T55+T56</f>
        <v>12000</v>
      </c>
      <c r="U54" s="69">
        <f t="shared" ref="U54:V54" si="59">U55+U56</f>
        <v>0</v>
      </c>
      <c r="V54" s="93">
        <f t="shared" si="59"/>
        <v>12000</v>
      </c>
      <c r="W54" s="95">
        <f>W55+W56</f>
        <v>116790.8</v>
      </c>
      <c r="X54" s="95">
        <f t="shared" ref="X54:Y54" si="60">X55+X56</f>
        <v>0</v>
      </c>
      <c r="Y54" s="93">
        <f t="shared" si="60"/>
        <v>116790.8</v>
      </c>
      <c r="Z54" s="95">
        <f>Z55+Z56</f>
        <v>646551.80000000005</v>
      </c>
      <c r="AA54" s="95">
        <f t="shared" ref="AA54:AB54" si="61">AA55+AA56</f>
        <v>0</v>
      </c>
      <c r="AB54" s="93">
        <f t="shared" si="61"/>
        <v>646551.80000000005</v>
      </c>
      <c r="AC54" s="178"/>
      <c r="AD54" s="112"/>
      <c r="AE54" s="184"/>
      <c r="AF54" s="197"/>
      <c r="AG54" s="231"/>
      <c r="AH54" s="96"/>
      <c r="AI54" s="40">
        <f>I54-M54-P54-S54-V54-Y54-AB54-AE54-AH54</f>
        <v>-1.1641532182693481E-10</v>
      </c>
    </row>
    <row r="55" spans="1:35" ht="21" customHeight="1" x14ac:dyDescent="0.3">
      <c r="A55" s="61"/>
      <c r="B55" s="26" t="s">
        <v>22</v>
      </c>
      <c r="C55" s="27"/>
      <c r="D55" s="29"/>
      <c r="E55" s="30"/>
      <c r="F55" s="30"/>
      <c r="G55" s="30"/>
      <c r="H55" s="142"/>
      <c r="I55" s="110"/>
      <c r="J55" s="62"/>
      <c r="K55" s="30"/>
      <c r="L55" s="30"/>
      <c r="M55" s="181"/>
      <c r="N55" s="175"/>
      <c r="O55" s="36"/>
      <c r="P55" s="181"/>
      <c r="Q55" s="175"/>
      <c r="R55" s="36"/>
      <c r="S55" s="181">
        <f>Q55+R55</f>
        <v>0</v>
      </c>
      <c r="T55" s="189"/>
      <c r="U55" s="37"/>
      <c r="V55" s="203"/>
      <c r="W55" s="189">
        <f>W58</f>
        <v>116790.8</v>
      </c>
      <c r="X55" s="189">
        <f t="shared" ref="X55:Y55" si="62">X58</f>
        <v>0</v>
      </c>
      <c r="Y55" s="203">
        <f t="shared" si="62"/>
        <v>116790.8</v>
      </c>
      <c r="Z55" s="189">
        <f>Z58</f>
        <v>646451.80000000005</v>
      </c>
      <c r="AA55" s="189">
        <f t="shared" ref="AA55:AB55" si="63">AA58</f>
        <v>0</v>
      </c>
      <c r="AB55" s="203">
        <f t="shared" si="63"/>
        <v>646451.80000000005</v>
      </c>
      <c r="AC55" s="198"/>
      <c r="AD55" s="113"/>
      <c r="AE55" s="216"/>
      <c r="AF55" s="198"/>
      <c r="AG55" s="232"/>
      <c r="AH55" s="235"/>
    </row>
    <row r="56" spans="1:35" ht="19.5" customHeight="1" x14ac:dyDescent="0.3">
      <c r="A56" s="61"/>
      <c r="B56" s="6" t="s">
        <v>23</v>
      </c>
      <c r="C56" s="8"/>
      <c r="D56" s="17"/>
      <c r="E56" s="18"/>
      <c r="F56" s="18"/>
      <c r="G56" s="18"/>
      <c r="H56" s="141"/>
      <c r="I56" s="109"/>
      <c r="J56" s="44"/>
      <c r="K56" s="18"/>
      <c r="L56" s="18"/>
      <c r="M56" s="179"/>
      <c r="N56" s="174"/>
      <c r="O56" s="71"/>
      <c r="P56" s="179"/>
      <c r="Q56" s="95">
        <f>Q62+Q63</f>
        <v>0</v>
      </c>
      <c r="R56" s="69"/>
      <c r="S56" s="93">
        <f>Q56+R56</f>
        <v>0</v>
      </c>
      <c r="T56" s="95">
        <v>12000</v>
      </c>
      <c r="U56" s="69"/>
      <c r="V56" s="93">
        <f>T56+U56</f>
        <v>12000</v>
      </c>
      <c r="W56" s="178"/>
      <c r="X56" s="112"/>
      <c r="Y56" s="184"/>
      <c r="Z56" s="178">
        <f>Z57</f>
        <v>100</v>
      </c>
      <c r="AA56" s="178">
        <f t="shared" ref="AA56:AB56" si="64">AA57</f>
        <v>0</v>
      </c>
      <c r="AB56" s="184">
        <f t="shared" si="64"/>
        <v>100</v>
      </c>
      <c r="AC56" s="178"/>
      <c r="AD56" s="112"/>
      <c r="AE56" s="184"/>
      <c r="AF56" s="178"/>
      <c r="AG56" s="2"/>
      <c r="AH56" s="96"/>
    </row>
    <row r="57" spans="1:35" ht="19.5" customHeight="1" x14ac:dyDescent="0.3">
      <c r="A57" s="61"/>
      <c r="B57" s="6" t="s">
        <v>35</v>
      </c>
      <c r="C57" s="8"/>
      <c r="D57" s="17"/>
      <c r="E57" s="18"/>
      <c r="F57" s="44"/>
      <c r="G57" s="18"/>
      <c r="H57" s="141"/>
      <c r="I57" s="109"/>
      <c r="J57" s="44"/>
      <c r="K57" s="18"/>
      <c r="L57" s="18"/>
      <c r="M57" s="179"/>
      <c r="N57" s="174"/>
      <c r="O57" s="71"/>
      <c r="P57" s="179"/>
      <c r="Q57" s="95"/>
      <c r="R57" s="69"/>
      <c r="S57" s="93"/>
      <c r="T57" s="95">
        <v>12000</v>
      </c>
      <c r="U57" s="69"/>
      <c r="V57" s="93">
        <f>T57+U57</f>
        <v>12000</v>
      </c>
      <c r="W57" s="178"/>
      <c r="X57" s="112"/>
      <c r="Y57" s="184"/>
      <c r="Z57" s="178">
        <v>100</v>
      </c>
      <c r="AA57" s="112"/>
      <c r="AB57" s="184">
        <f>Z57+AA57</f>
        <v>100</v>
      </c>
      <c r="AC57" s="178"/>
      <c r="AD57" s="112"/>
      <c r="AE57" s="184"/>
      <c r="AF57" s="178"/>
      <c r="AG57" s="2"/>
      <c r="AH57" s="96"/>
    </row>
    <row r="58" spans="1:35" ht="19.5" customHeight="1" x14ac:dyDescent="0.3">
      <c r="A58" s="61"/>
      <c r="B58" s="6" t="s">
        <v>36</v>
      </c>
      <c r="C58" s="8"/>
      <c r="D58" s="17"/>
      <c r="E58" s="18"/>
      <c r="F58" s="44"/>
      <c r="G58" s="18"/>
      <c r="H58" s="141"/>
      <c r="I58" s="109"/>
      <c r="J58" s="44"/>
      <c r="K58" s="18"/>
      <c r="L58" s="18"/>
      <c r="M58" s="179"/>
      <c r="N58" s="174"/>
      <c r="O58" s="71"/>
      <c r="P58" s="179"/>
      <c r="Q58" s="95"/>
      <c r="R58" s="69"/>
      <c r="S58" s="93"/>
      <c r="T58" s="95"/>
      <c r="U58" s="69"/>
      <c r="V58" s="93"/>
      <c r="W58" s="178">
        <v>116790.8</v>
      </c>
      <c r="X58" s="112"/>
      <c r="Y58" s="184">
        <f>W58+X58</f>
        <v>116790.8</v>
      </c>
      <c r="Z58" s="178">
        <v>646451.80000000005</v>
      </c>
      <c r="AA58" s="112"/>
      <c r="AB58" s="184">
        <f>Z58+AA58</f>
        <v>646451.80000000005</v>
      </c>
      <c r="AC58" s="178"/>
      <c r="AD58" s="112"/>
      <c r="AE58" s="184"/>
      <c r="AF58" s="178"/>
      <c r="AG58" s="2"/>
      <c r="AH58" s="96"/>
    </row>
    <row r="59" spans="1:35" ht="110.25" customHeight="1" x14ac:dyDescent="0.3">
      <c r="A59" s="59">
        <v>31</v>
      </c>
      <c r="B59" s="6" t="s">
        <v>97</v>
      </c>
      <c r="C59" s="13" t="s">
        <v>16</v>
      </c>
      <c r="D59" s="7">
        <v>2022</v>
      </c>
      <c r="E59" s="7">
        <v>26.16</v>
      </c>
      <c r="F59" s="12"/>
      <c r="G59" s="7"/>
      <c r="H59" s="137"/>
      <c r="I59" s="304">
        <v>758640</v>
      </c>
      <c r="J59" s="12"/>
      <c r="K59" s="18"/>
      <c r="L59" s="7"/>
      <c r="M59" s="179"/>
      <c r="N59" s="174"/>
      <c r="O59" s="71"/>
      <c r="P59" s="179"/>
      <c r="Q59" s="95"/>
      <c r="R59" s="48">
        <f>R61+R60</f>
        <v>489580.79999999999</v>
      </c>
      <c r="S59" s="91">
        <f t="shared" ref="S59:S63" si="65">Q59+R59</f>
        <v>489580.79999999999</v>
      </c>
      <c r="T59" s="95">
        <f>T60+T61</f>
        <v>0</v>
      </c>
      <c r="U59" s="95">
        <f t="shared" ref="U59:V59" si="66">U60+U61</f>
        <v>269059.20000000001</v>
      </c>
      <c r="V59" s="310">
        <f t="shared" si="66"/>
        <v>269059.20000000001</v>
      </c>
      <c r="W59" s="197">
        <f>W61</f>
        <v>0</v>
      </c>
      <c r="X59" s="111"/>
      <c r="Y59" s="215"/>
      <c r="Z59" s="197">
        <f t="shared" ref="Z59:AF59" si="67">Z61</f>
        <v>0</v>
      </c>
      <c r="AA59" s="111"/>
      <c r="AB59" s="215"/>
      <c r="AC59" s="197">
        <f t="shared" si="67"/>
        <v>0</v>
      </c>
      <c r="AD59" s="111"/>
      <c r="AE59" s="215"/>
      <c r="AF59" s="197">
        <f t="shared" si="67"/>
        <v>0</v>
      </c>
      <c r="AG59" s="111"/>
      <c r="AH59" s="96"/>
      <c r="AI59" s="305">
        <f>I59-S59-V59-Y59-AB59</f>
        <v>0</v>
      </c>
    </row>
    <row r="60" spans="1:35" ht="21" customHeight="1" x14ac:dyDescent="0.3">
      <c r="A60" s="59"/>
      <c r="B60" s="26" t="s">
        <v>22</v>
      </c>
      <c r="C60" s="33"/>
      <c r="D60" s="28"/>
      <c r="E60" s="28"/>
      <c r="F60" s="34"/>
      <c r="G60" s="28"/>
      <c r="H60" s="138"/>
      <c r="I60" s="165"/>
      <c r="J60" s="34"/>
      <c r="K60" s="62"/>
      <c r="L60" s="28"/>
      <c r="M60" s="181"/>
      <c r="N60" s="175"/>
      <c r="O60" s="36"/>
      <c r="P60" s="181"/>
      <c r="Q60" s="85"/>
      <c r="R60" s="35">
        <v>478641.6</v>
      </c>
      <c r="S60" s="92">
        <f>Q60+R60</f>
        <v>478641.6</v>
      </c>
      <c r="T60" s="85"/>
      <c r="U60" s="35">
        <f>U63</f>
        <v>269059.20000000001</v>
      </c>
      <c r="V60" s="92">
        <f>V63</f>
        <v>269059.20000000001</v>
      </c>
      <c r="W60" s="189"/>
      <c r="X60" s="37"/>
      <c r="Y60" s="203"/>
      <c r="Z60" s="189"/>
      <c r="AA60" s="37"/>
      <c r="AB60" s="203"/>
      <c r="AC60" s="189"/>
      <c r="AD60" s="37"/>
      <c r="AE60" s="203"/>
      <c r="AF60" s="189"/>
      <c r="AG60" s="189"/>
      <c r="AH60" s="203"/>
    </row>
    <row r="61" spans="1:35" ht="21.75" customHeight="1" x14ac:dyDescent="0.3">
      <c r="A61" s="59"/>
      <c r="B61" s="6" t="s">
        <v>23</v>
      </c>
      <c r="C61" s="13"/>
      <c r="D61" s="7"/>
      <c r="E61" s="7"/>
      <c r="F61" s="12"/>
      <c r="G61" s="7"/>
      <c r="H61" s="137"/>
      <c r="I61" s="105"/>
      <c r="J61" s="12"/>
      <c r="K61" s="44"/>
      <c r="L61" s="7"/>
      <c r="M61" s="179"/>
      <c r="N61" s="174"/>
      <c r="O61" s="71"/>
      <c r="P61" s="179"/>
      <c r="Q61" s="95"/>
      <c r="R61" s="69">
        <f>R62</f>
        <v>10939.2</v>
      </c>
      <c r="S61" s="91">
        <f>S62</f>
        <v>10939.2</v>
      </c>
      <c r="T61" s="95"/>
      <c r="U61" s="69"/>
      <c r="V61" s="93"/>
      <c r="W61" s="178"/>
      <c r="X61" s="112"/>
      <c r="Y61" s="184"/>
      <c r="Z61" s="178"/>
      <c r="AA61" s="112"/>
      <c r="AB61" s="184"/>
      <c r="AC61" s="178"/>
      <c r="AD61" s="112"/>
      <c r="AE61" s="184"/>
      <c r="AF61" s="178"/>
      <c r="AG61" s="2"/>
      <c r="AH61" s="96"/>
    </row>
    <row r="62" spans="1:35" ht="19.5" customHeight="1" x14ac:dyDescent="0.3">
      <c r="A62" s="59"/>
      <c r="B62" s="6" t="s">
        <v>35</v>
      </c>
      <c r="C62" s="13"/>
      <c r="D62" s="7"/>
      <c r="E62" s="7"/>
      <c r="F62" s="12"/>
      <c r="G62" s="7"/>
      <c r="H62" s="137"/>
      <c r="I62" s="105"/>
      <c r="J62" s="12"/>
      <c r="K62" s="44"/>
      <c r="L62" s="7"/>
      <c r="M62" s="179"/>
      <c r="N62" s="174"/>
      <c r="O62" s="71"/>
      <c r="P62" s="179"/>
      <c r="Q62" s="95"/>
      <c r="R62" s="69">
        <v>10939.2</v>
      </c>
      <c r="S62" s="93">
        <f t="shared" si="65"/>
        <v>10939.2</v>
      </c>
      <c r="T62" s="95"/>
      <c r="U62" s="69"/>
      <c r="V62" s="93"/>
      <c r="W62" s="197"/>
      <c r="X62" s="111"/>
      <c r="Y62" s="215"/>
      <c r="Z62" s="178"/>
      <c r="AA62" s="112"/>
      <c r="AB62" s="184"/>
      <c r="AC62" s="178"/>
      <c r="AD62" s="112"/>
      <c r="AE62" s="184"/>
      <c r="AF62" s="178"/>
      <c r="AG62" s="2"/>
      <c r="AH62" s="96"/>
    </row>
    <row r="63" spans="1:35" ht="18.75" customHeight="1" x14ac:dyDescent="0.3">
      <c r="A63" s="59"/>
      <c r="B63" s="6" t="s">
        <v>36</v>
      </c>
      <c r="C63" s="13"/>
      <c r="D63" s="7"/>
      <c r="E63" s="7"/>
      <c r="F63" s="12"/>
      <c r="G63" s="7"/>
      <c r="H63" s="137"/>
      <c r="I63" s="105"/>
      <c r="J63" s="12"/>
      <c r="K63" s="44"/>
      <c r="L63" s="7"/>
      <c r="M63" s="179"/>
      <c r="N63" s="174"/>
      <c r="O63" s="71"/>
      <c r="P63" s="179"/>
      <c r="Q63" s="95"/>
      <c r="R63" s="69">
        <v>478641.6</v>
      </c>
      <c r="S63" s="93">
        <f t="shared" si="65"/>
        <v>478641.6</v>
      </c>
      <c r="T63" s="95"/>
      <c r="U63" s="69">
        <v>269059.20000000001</v>
      </c>
      <c r="V63" s="93">
        <f>T63+U63</f>
        <v>269059.20000000001</v>
      </c>
      <c r="W63" s="190"/>
      <c r="X63" s="50"/>
      <c r="Y63" s="204"/>
      <c r="Z63" s="178"/>
      <c r="AA63" s="112"/>
      <c r="AB63" s="184"/>
      <c r="AC63" s="178"/>
      <c r="AD63" s="112"/>
      <c r="AE63" s="184"/>
      <c r="AF63" s="178"/>
      <c r="AG63" s="2"/>
      <c r="AH63" s="96"/>
    </row>
    <row r="64" spans="1:35" ht="105" customHeight="1" x14ac:dyDescent="0.3">
      <c r="A64" s="59"/>
      <c r="B64" s="124" t="s">
        <v>98</v>
      </c>
      <c r="C64" s="13" t="s">
        <v>16</v>
      </c>
      <c r="D64" s="7">
        <v>2026</v>
      </c>
      <c r="E64" s="173">
        <v>16</v>
      </c>
      <c r="F64" s="12"/>
      <c r="G64" s="7"/>
      <c r="H64" s="137"/>
      <c r="I64" s="93">
        <v>464000</v>
      </c>
      <c r="J64" s="12"/>
      <c r="K64" s="44"/>
      <c r="L64" s="7"/>
      <c r="M64" s="179"/>
      <c r="N64" s="174"/>
      <c r="O64" s="71"/>
      <c r="P64" s="179"/>
      <c r="Q64" s="95">
        <f>Q65+Q66</f>
        <v>0</v>
      </c>
      <c r="R64" s="69">
        <f>R65+R66</f>
        <v>0</v>
      </c>
      <c r="S64" s="93">
        <f>S65+S66</f>
        <v>0</v>
      </c>
      <c r="T64" s="95"/>
      <c r="U64" s="69"/>
      <c r="V64" s="93"/>
      <c r="W64" s="190">
        <f>W65+W66</f>
        <v>10716.9</v>
      </c>
      <c r="X64" s="190">
        <f t="shared" ref="X64:Y64" si="68">X65+X66</f>
        <v>-10716.9</v>
      </c>
      <c r="Y64" s="312">
        <f t="shared" si="68"/>
        <v>0</v>
      </c>
      <c r="Z64" s="197">
        <f>Z65+Z66</f>
        <v>250000</v>
      </c>
      <c r="AA64" s="197">
        <f t="shared" ref="AA64:AB64" si="69">AA65+AA66</f>
        <v>-239283.1</v>
      </c>
      <c r="AB64" s="313">
        <f t="shared" si="69"/>
        <v>10716.9</v>
      </c>
      <c r="AC64" s="197">
        <f>AC65+AC66</f>
        <v>203283.1</v>
      </c>
      <c r="AD64" s="197">
        <f t="shared" ref="AD64:AE64" si="70">AD65+AD66</f>
        <v>46716.899999999994</v>
      </c>
      <c r="AE64" s="313">
        <f t="shared" si="70"/>
        <v>250000</v>
      </c>
      <c r="AF64" s="197">
        <f>AF65+AF66</f>
        <v>0</v>
      </c>
      <c r="AG64" s="197">
        <f t="shared" ref="AG64:AH64" si="71">AG65+AG66</f>
        <v>203283.1</v>
      </c>
      <c r="AH64" s="197">
        <f t="shared" si="71"/>
        <v>203283.1</v>
      </c>
      <c r="AI64" s="305">
        <f>I64-S64-Y64-AB64-AE64-AH64</f>
        <v>0</v>
      </c>
    </row>
    <row r="65" spans="1:35" ht="18.75" customHeight="1" x14ac:dyDescent="0.3">
      <c r="A65" s="59"/>
      <c r="B65" s="26" t="s">
        <v>22</v>
      </c>
      <c r="C65" s="33"/>
      <c r="D65" s="28"/>
      <c r="E65" s="28"/>
      <c r="F65" s="34"/>
      <c r="G65" s="28"/>
      <c r="H65" s="138"/>
      <c r="I65" s="165"/>
      <c r="J65" s="34"/>
      <c r="K65" s="62"/>
      <c r="L65" s="28"/>
      <c r="M65" s="181"/>
      <c r="N65" s="175"/>
      <c r="O65" s="36"/>
      <c r="P65" s="181"/>
      <c r="Q65" s="85"/>
      <c r="R65" s="35"/>
      <c r="S65" s="92"/>
      <c r="T65" s="85"/>
      <c r="U65" s="35"/>
      <c r="V65" s="92"/>
      <c r="W65" s="189"/>
      <c r="X65" s="37"/>
      <c r="Y65" s="203"/>
      <c r="Z65" s="198">
        <f>Z68</f>
        <v>250000</v>
      </c>
      <c r="AA65" s="198">
        <f t="shared" ref="AA65:AB65" si="72">AA68</f>
        <v>-250000</v>
      </c>
      <c r="AB65" s="314">
        <f t="shared" si="72"/>
        <v>0</v>
      </c>
      <c r="AC65" s="198">
        <f>AC68</f>
        <v>203283.1</v>
      </c>
      <c r="AD65" s="198">
        <f t="shared" ref="AD65:AE65" si="73">AD68</f>
        <v>46716.899999999994</v>
      </c>
      <c r="AE65" s="314">
        <f t="shared" si="73"/>
        <v>250000</v>
      </c>
      <c r="AF65" s="198">
        <f>AF68</f>
        <v>0</v>
      </c>
      <c r="AG65" s="198">
        <f t="shared" ref="AG65:AH65" si="74">AG68</f>
        <v>203283.1</v>
      </c>
      <c r="AH65" s="198">
        <f t="shared" si="74"/>
        <v>203283.1</v>
      </c>
    </row>
    <row r="66" spans="1:35" ht="18.75" customHeight="1" x14ac:dyDescent="0.3">
      <c r="A66" s="59"/>
      <c r="B66" s="6" t="s">
        <v>23</v>
      </c>
      <c r="C66" s="13"/>
      <c r="D66" s="7"/>
      <c r="E66" s="7"/>
      <c r="F66" s="12"/>
      <c r="G66" s="7"/>
      <c r="H66" s="137"/>
      <c r="I66" s="105"/>
      <c r="J66" s="12"/>
      <c r="K66" s="44"/>
      <c r="L66" s="7"/>
      <c r="M66" s="179"/>
      <c r="N66" s="174"/>
      <c r="O66" s="71"/>
      <c r="P66" s="179"/>
      <c r="Q66" s="95">
        <f>Q67+Q68</f>
        <v>0</v>
      </c>
      <c r="R66" s="69">
        <f t="shared" ref="R66:S66" si="75">R67+R68</f>
        <v>0</v>
      </c>
      <c r="S66" s="91">
        <f t="shared" si="75"/>
        <v>0</v>
      </c>
      <c r="T66" s="95"/>
      <c r="U66" s="69"/>
      <c r="V66" s="93"/>
      <c r="W66" s="190">
        <f>W67</f>
        <v>10716.9</v>
      </c>
      <c r="X66" s="190">
        <f t="shared" ref="X66:Y66" si="76">X67</f>
        <v>-10716.9</v>
      </c>
      <c r="Y66" s="312">
        <f t="shared" si="76"/>
        <v>0</v>
      </c>
      <c r="Z66" s="178"/>
      <c r="AA66" s="112">
        <f>AA67</f>
        <v>10716.9</v>
      </c>
      <c r="AB66" s="112">
        <f>AB67</f>
        <v>10716.9</v>
      </c>
      <c r="AC66" s="178"/>
      <c r="AD66" s="112"/>
      <c r="AE66" s="184"/>
      <c r="AF66" s="178"/>
      <c r="AG66" s="2"/>
      <c r="AH66" s="96"/>
    </row>
    <row r="67" spans="1:35" ht="18.75" customHeight="1" x14ac:dyDescent="0.3">
      <c r="A67" s="59"/>
      <c r="B67" s="6" t="s">
        <v>35</v>
      </c>
      <c r="C67" s="13"/>
      <c r="D67" s="7"/>
      <c r="E67" s="7"/>
      <c r="F67" s="12"/>
      <c r="G67" s="7"/>
      <c r="H67" s="137"/>
      <c r="I67" s="105"/>
      <c r="J67" s="12"/>
      <c r="K67" s="44"/>
      <c r="L67" s="7"/>
      <c r="M67" s="179"/>
      <c r="N67" s="174"/>
      <c r="O67" s="71"/>
      <c r="P67" s="179"/>
      <c r="Q67" s="95"/>
      <c r="R67" s="69"/>
      <c r="S67" s="93">
        <f>Q67+R67</f>
        <v>0</v>
      </c>
      <c r="T67" s="95"/>
      <c r="U67" s="69"/>
      <c r="V67" s="93"/>
      <c r="W67" s="190">
        <v>10716.9</v>
      </c>
      <c r="X67" s="299">
        <v>-10716.9</v>
      </c>
      <c r="Y67" s="204">
        <f>W67+X67</f>
        <v>0</v>
      </c>
      <c r="Z67" s="178"/>
      <c r="AA67" s="112">
        <v>10716.9</v>
      </c>
      <c r="AB67" s="184">
        <f>Z67+AA67</f>
        <v>10716.9</v>
      </c>
      <c r="AC67" s="178"/>
      <c r="AD67" s="112"/>
      <c r="AE67" s="184"/>
      <c r="AF67" s="178"/>
      <c r="AG67" s="2"/>
      <c r="AH67" s="96"/>
    </row>
    <row r="68" spans="1:35" ht="18.75" customHeight="1" x14ac:dyDescent="0.3">
      <c r="A68" s="59"/>
      <c r="B68" s="6" t="s">
        <v>36</v>
      </c>
      <c r="C68" s="13"/>
      <c r="D68" s="7"/>
      <c r="E68" s="7"/>
      <c r="F68" s="12"/>
      <c r="G68" s="7"/>
      <c r="H68" s="137"/>
      <c r="I68" s="105"/>
      <c r="J68" s="12"/>
      <c r="K68" s="44"/>
      <c r="L68" s="7"/>
      <c r="M68" s="179"/>
      <c r="N68" s="174"/>
      <c r="O68" s="71"/>
      <c r="P68" s="179"/>
      <c r="Q68" s="95"/>
      <c r="R68" s="69"/>
      <c r="S68" s="93"/>
      <c r="T68" s="95"/>
      <c r="U68" s="69"/>
      <c r="V68" s="93"/>
      <c r="W68" s="190"/>
      <c r="X68" s="50"/>
      <c r="Y68" s="204"/>
      <c r="Z68" s="178">
        <v>250000</v>
      </c>
      <c r="AA68" s="112">
        <f>-250000</f>
        <v>-250000</v>
      </c>
      <c r="AB68" s="184">
        <f>Z68+AA68</f>
        <v>0</v>
      </c>
      <c r="AC68" s="178">
        <v>203283.1</v>
      </c>
      <c r="AD68" s="112">
        <f>-203283.1+250000</f>
        <v>46716.899999999994</v>
      </c>
      <c r="AE68" s="184">
        <f>AC68+AD68</f>
        <v>250000</v>
      </c>
      <c r="AF68" s="178"/>
      <c r="AG68" s="2">
        <v>203283.1</v>
      </c>
      <c r="AH68" s="184">
        <f>AF68+AG68</f>
        <v>203283.1</v>
      </c>
    </row>
    <row r="69" spans="1:35" ht="108.75" customHeight="1" x14ac:dyDescent="0.3">
      <c r="A69" s="59"/>
      <c r="B69" s="124" t="s">
        <v>99</v>
      </c>
      <c r="C69" s="13" t="s">
        <v>16</v>
      </c>
      <c r="D69" s="7">
        <v>2026</v>
      </c>
      <c r="E69" s="7">
        <v>20.2</v>
      </c>
      <c r="F69" s="12"/>
      <c r="G69" s="7"/>
      <c r="H69" s="137"/>
      <c r="I69" s="93">
        <v>658120</v>
      </c>
      <c r="J69" s="12"/>
      <c r="K69" s="44"/>
      <c r="L69" s="7"/>
      <c r="M69" s="179"/>
      <c r="N69" s="174"/>
      <c r="O69" s="71"/>
      <c r="P69" s="179"/>
      <c r="Q69" s="95"/>
      <c r="R69" s="69"/>
      <c r="S69" s="93"/>
      <c r="T69" s="95"/>
      <c r="U69" s="69"/>
      <c r="V69" s="93"/>
      <c r="W69" s="252">
        <f>W70+W71</f>
        <v>18010.5</v>
      </c>
      <c r="X69" s="252">
        <f t="shared" ref="X69:Y69" si="77">X70+X71</f>
        <v>-18010.5</v>
      </c>
      <c r="Y69" s="256">
        <f t="shared" si="77"/>
        <v>0</v>
      </c>
      <c r="Z69" s="197">
        <f>Z70+Z71</f>
        <v>320000</v>
      </c>
      <c r="AA69" s="197">
        <f t="shared" ref="AA69:AB69" si="78">AA70+AA71</f>
        <v>-301989.5</v>
      </c>
      <c r="AB69" s="313">
        <f t="shared" si="78"/>
        <v>18010.5</v>
      </c>
      <c r="AC69" s="197">
        <f>AC70+AC71</f>
        <v>320109.5</v>
      </c>
      <c r="AD69" s="197">
        <f t="shared" ref="AD69:AE69" si="79">AD70+AD71</f>
        <v>-109.5</v>
      </c>
      <c r="AE69" s="313">
        <f t="shared" si="79"/>
        <v>320000</v>
      </c>
      <c r="AF69" s="197">
        <f>AF70+AF71</f>
        <v>0</v>
      </c>
      <c r="AG69" s="197">
        <f t="shared" ref="AG69:AH69" si="80">AG70+AG71</f>
        <v>320109.5</v>
      </c>
      <c r="AH69" s="197">
        <f t="shared" si="80"/>
        <v>320109.5</v>
      </c>
      <c r="AI69" s="305">
        <f>I69-Y69-AB69-AE69-AH69</f>
        <v>0</v>
      </c>
    </row>
    <row r="70" spans="1:35" ht="18.75" customHeight="1" x14ac:dyDescent="0.3">
      <c r="A70" s="59"/>
      <c r="B70" s="26" t="s">
        <v>22</v>
      </c>
      <c r="C70" s="33"/>
      <c r="D70" s="28"/>
      <c r="E70" s="28"/>
      <c r="F70" s="34"/>
      <c r="G70" s="28"/>
      <c r="H70" s="138"/>
      <c r="I70" s="165"/>
      <c r="J70" s="34"/>
      <c r="K70" s="62"/>
      <c r="L70" s="28"/>
      <c r="M70" s="181"/>
      <c r="N70" s="175"/>
      <c r="O70" s="36"/>
      <c r="P70" s="181"/>
      <c r="Q70" s="85"/>
      <c r="R70" s="35"/>
      <c r="S70" s="92"/>
      <c r="T70" s="85"/>
      <c r="U70" s="35"/>
      <c r="V70" s="92"/>
      <c r="W70" s="253"/>
      <c r="X70" s="254"/>
      <c r="Y70" s="255"/>
      <c r="Z70" s="198">
        <f>Z73</f>
        <v>320000</v>
      </c>
      <c r="AA70" s="198">
        <f t="shared" ref="AA70:AE70" si="81">AA73</f>
        <v>-320000</v>
      </c>
      <c r="AB70" s="314">
        <f t="shared" si="81"/>
        <v>0</v>
      </c>
      <c r="AC70" s="198">
        <f>AC73</f>
        <v>320109.5</v>
      </c>
      <c r="AD70" s="198">
        <f t="shared" si="81"/>
        <v>-109.5</v>
      </c>
      <c r="AE70" s="314">
        <f t="shared" si="81"/>
        <v>320000</v>
      </c>
      <c r="AF70" s="198">
        <f>AF73</f>
        <v>0</v>
      </c>
      <c r="AG70" s="198">
        <f t="shared" ref="AG70:AH70" si="82">AG73</f>
        <v>320109.5</v>
      </c>
      <c r="AH70" s="198">
        <f t="shared" si="82"/>
        <v>320109.5</v>
      </c>
    </row>
    <row r="71" spans="1:35" ht="18.75" customHeight="1" x14ac:dyDescent="0.3">
      <c r="A71" s="59"/>
      <c r="B71" s="6" t="s">
        <v>23</v>
      </c>
      <c r="C71" s="13"/>
      <c r="D71" s="7"/>
      <c r="E71" s="7"/>
      <c r="F71" s="12"/>
      <c r="G71" s="7"/>
      <c r="H71" s="137"/>
      <c r="I71" s="105"/>
      <c r="J71" s="12"/>
      <c r="K71" s="44"/>
      <c r="L71" s="7"/>
      <c r="M71" s="179"/>
      <c r="N71" s="174"/>
      <c r="O71" s="71"/>
      <c r="P71" s="179"/>
      <c r="Q71" s="95"/>
      <c r="R71" s="69"/>
      <c r="S71" s="93"/>
      <c r="T71" s="95"/>
      <c r="U71" s="69"/>
      <c r="V71" s="93"/>
      <c r="W71" s="252">
        <f>W72+W73</f>
        <v>18010.5</v>
      </c>
      <c r="X71" s="252">
        <f t="shared" ref="X71:Y71" si="83">X72+X73</f>
        <v>-18010.5</v>
      </c>
      <c r="Y71" s="256">
        <f t="shared" si="83"/>
        <v>0</v>
      </c>
      <c r="Z71" s="178"/>
      <c r="AA71" s="112">
        <f>AA72</f>
        <v>18010.5</v>
      </c>
      <c r="AB71" s="112">
        <f>AB72</f>
        <v>18010.5</v>
      </c>
      <c r="AC71" s="178"/>
      <c r="AD71" s="112"/>
      <c r="AE71" s="184"/>
      <c r="AF71" s="178"/>
      <c r="AG71" s="2"/>
      <c r="AH71" s="96"/>
    </row>
    <row r="72" spans="1:35" ht="18.75" customHeight="1" x14ac:dyDescent="0.3">
      <c r="A72" s="59"/>
      <c r="B72" s="6" t="s">
        <v>35</v>
      </c>
      <c r="C72" s="13"/>
      <c r="D72" s="7"/>
      <c r="E72" s="7"/>
      <c r="F72" s="12"/>
      <c r="G72" s="7"/>
      <c r="H72" s="137"/>
      <c r="I72" s="105"/>
      <c r="J72" s="12"/>
      <c r="K72" s="44"/>
      <c r="L72" s="7"/>
      <c r="M72" s="179"/>
      <c r="N72" s="174"/>
      <c r="O72" s="71"/>
      <c r="P72" s="179"/>
      <c r="Q72" s="95"/>
      <c r="R72" s="69"/>
      <c r="S72" s="93"/>
      <c r="T72" s="95"/>
      <c r="U72" s="69"/>
      <c r="V72" s="93"/>
      <c r="W72" s="252">
        <f>18010.5</f>
        <v>18010.5</v>
      </c>
      <c r="X72" s="252">
        <f>-18010.5</f>
        <v>-18010.5</v>
      </c>
      <c r="Y72" s="256">
        <f>W72+X72</f>
        <v>0</v>
      </c>
      <c r="Z72" s="178"/>
      <c r="AA72" s="112">
        <v>18010.5</v>
      </c>
      <c r="AB72" s="184">
        <f>Z72+AA72</f>
        <v>18010.5</v>
      </c>
      <c r="AC72" s="178"/>
      <c r="AD72" s="112"/>
      <c r="AE72" s="184"/>
      <c r="AF72" s="178"/>
      <c r="AG72" s="2"/>
      <c r="AH72" s="96"/>
    </row>
    <row r="73" spans="1:35" ht="18.75" customHeight="1" x14ac:dyDescent="0.3">
      <c r="A73" s="59"/>
      <c r="B73" s="6" t="s">
        <v>36</v>
      </c>
      <c r="C73" s="13"/>
      <c r="D73" s="7"/>
      <c r="E73" s="7"/>
      <c r="F73" s="12"/>
      <c r="G73" s="7"/>
      <c r="H73" s="137"/>
      <c r="I73" s="105"/>
      <c r="J73" s="12"/>
      <c r="K73" s="44"/>
      <c r="L73" s="7"/>
      <c r="M73" s="179"/>
      <c r="N73" s="174"/>
      <c r="O73" s="71"/>
      <c r="P73" s="179"/>
      <c r="Q73" s="95"/>
      <c r="R73" s="69"/>
      <c r="S73" s="93"/>
      <c r="T73" s="95"/>
      <c r="U73" s="69"/>
      <c r="V73" s="93"/>
      <c r="W73" s="252"/>
      <c r="X73" s="257"/>
      <c r="Y73" s="256"/>
      <c r="Z73" s="112">
        <v>320000</v>
      </c>
      <c r="AA73" s="112">
        <f>-320000</f>
        <v>-320000</v>
      </c>
      <c r="AB73" s="184">
        <f>Z73+AA73</f>
        <v>0</v>
      </c>
      <c r="AC73" s="112">
        <v>320109.5</v>
      </c>
      <c r="AD73" s="112">
        <f>-320109.5+320000</f>
        <v>-109.5</v>
      </c>
      <c r="AE73" s="184">
        <f>AC73+AD73</f>
        <v>320000</v>
      </c>
      <c r="AF73" s="178"/>
      <c r="AG73" s="2">
        <v>320109.5</v>
      </c>
      <c r="AH73" s="184">
        <f>AF73+AG73</f>
        <v>320109.5</v>
      </c>
    </row>
    <row r="74" spans="1:35" ht="154.5" customHeight="1" x14ac:dyDescent="0.3">
      <c r="A74" s="59">
        <v>24</v>
      </c>
      <c r="B74" s="63" t="s">
        <v>68</v>
      </c>
      <c r="C74" s="64"/>
      <c r="D74" s="65" t="s">
        <v>48</v>
      </c>
      <c r="E74" s="65">
        <v>2.35</v>
      </c>
      <c r="F74" s="66"/>
      <c r="G74" s="65"/>
      <c r="H74" s="143"/>
      <c r="I74" s="123">
        <v>600930.19999999995</v>
      </c>
      <c r="J74" s="66"/>
      <c r="K74" s="67"/>
      <c r="L74" s="65"/>
      <c r="M74" s="182">
        <f t="shared" ref="M74:AB74" si="84">M75+M76</f>
        <v>0</v>
      </c>
      <c r="N74" s="176">
        <f t="shared" si="84"/>
        <v>0</v>
      </c>
      <c r="O74" s="73">
        <f t="shared" si="84"/>
        <v>0</v>
      </c>
      <c r="P74" s="182">
        <f t="shared" si="84"/>
        <v>0</v>
      </c>
      <c r="Q74" s="176">
        <f t="shared" si="84"/>
        <v>3057.5</v>
      </c>
      <c r="R74" s="73">
        <f t="shared" si="84"/>
        <v>1698.2</v>
      </c>
      <c r="S74" s="182">
        <f>Q74+R74</f>
        <v>4755.7</v>
      </c>
      <c r="T74" s="176">
        <f t="shared" si="84"/>
        <v>10531.7</v>
      </c>
      <c r="U74" s="73">
        <f t="shared" si="84"/>
        <v>1953.6</v>
      </c>
      <c r="V74" s="182">
        <f t="shared" si="84"/>
        <v>12485.300000000001</v>
      </c>
      <c r="W74" s="176">
        <f t="shared" si="84"/>
        <v>293670.5</v>
      </c>
      <c r="X74" s="176">
        <f t="shared" si="84"/>
        <v>0</v>
      </c>
      <c r="Y74" s="182">
        <f t="shared" si="84"/>
        <v>293670.5</v>
      </c>
      <c r="Z74" s="176">
        <f t="shared" si="84"/>
        <v>290018.7</v>
      </c>
      <c r="AA74" s="176">
        <f t="shared" si="84"/>
        <v>0</v>
      </c>
      <c r="AB74" s="182">
        <f t="shared" si="84"/>
        <v>290018.7</v>
      </c>
      <c r="AC74" s="221"/>
      <c r="AD74" s="116"/>
      <c r="AE74" s="229"/>
      <c r="AF74" s="258"/>
      <c r="AG74" s="259"/>
      <c r="AH74" s="260"/>
      <c r="AI74" s="40">
        <f>I74-M74-P74-S74-V74-Y74-AB74</f>
        <v>0</v>
      </c>
    </row>
    <row r="75" spans="1:35" ht="18.75" customHeight="1" x14ac:dyDescent="0.3">
      <c r="A75" s="59"/>
      <c r="B75" s="26" t="s">
        <v>22</v>
      </c>
      <c r="C75" s="33"/>
      <c r="D75" s="28"/>
      <c r="E75" s="28"/>
      <c r="F75" s="34"/>
      <c r="G75" s="28"/>
      <c r="H75" s="138"/>
      <c r="I75" s="92"/>
      <c r="J75" s="34"/>
      <c r="K75" s="62"/>
      <c r="L75" s="28"/>
      <c r="M75" s="181">
        <v>0</v>
      </c>
      <c r="N75" s="175"/>
      <c r="O75" s="36"/>
      <c r="P75" s="181">
        <f>N75+O75</f>
        <v>0</v>
      </c>
      <c r="Q75" s="85"/>
      <c r="R75" s="35"/>
      <c r="S75" s="92">
        <f>Q75+R75</f>
        <v>0</v>
      </c>
      <c r="T75" s="175"/>
      <c r="U75" s="36"/>
      <c r="V75" s="181"/>
      <c r="W75" s="175">
        <f>W78</f>
        <v>293670.5</v>
      </c>
      <c r="X75" s="175">
        <f t="shared" ref="X75:Y75" si="85">X78</f>
        <v>0</v>
      </c>
      <c r="Y75" s="181">
        <f t="shared" si="85"/>
        <v>293670.5</v>
      </c>
      <c r="Z75" s="175">
        <f>Z78</f>
        <v>290018.7</v>
      </c>
      <c r="AA75" s="175">
        <f t="shared" ref="AA75:AB75" si="86">AA78</f>
        <v>0</v>
      </c>
      <c r="AB75" s="181">
        <f t="shared" si="86"/>
        <v>290018.7</v>
      </c>
      <c r="AC75" s="198"/>
      <c r="AD75" s="113"/>
      <c r="AE75" s="216"/>
      <c r="AF75" s="198"/>
      <c r="AG75" s="198"/>
      <c r="AH75" s="216"/>
    </row>
    <row r="76" spans="1:35" ht="18.75" customHeight="1" x14ac:dyDescent="0.3">
      <c r="A76" s="59"/>
      <c r="B76" s="6" t="s">
        <v>23</v>
      </c>
      <c r="C76" s="13"/>
      <c r="D76" s="7"/>
      <c r="E76" s="7"/>
      <c r="F76" s="12"/>
      <c r="G76" s="7"/>
      <c r="H76" s="137"/>
      <c r="I76" s="93"/>
      <c r="J76" s="12"/>
      <c r="K76" s="44"/>
      <c r="L76" s="7"/>
      <c r="M76" s="179">
        <v>0</v>
      </c>
      <c r="N76" s="174">
        <f>N77+N78</f>
        <v>0</v>
      </c>
      <c r="O76" s="71">
        <f t="shared" ref="O76:R76" si="87">O77+O78</f>
        <v>0</v>
      </c>
      <c r="P76" s="179">
        <f t="shared" si="87"/>
        <v>0</v>
      </c>
      <c r="Q76" s="174">
        <f t="shared" si="87"/>
        <v>3057.5</v>
      </c>
      <c r="R76" s="49">
        <f t="shared" si="87"/>
        <v>1698.2</v>
      </c>
      <c r="S76" s="206">
        <f>Q76+R76</f>
        <v>4755.7</v>
      </c>
      <c r="T76" s="174">
        <f t="shared" ref="T76:U76" si="88">T77+T78</f>
        <v>10531.7</v>
      </c>
      <c r="U76" s="71">
        <f t="shared" si="88"/>
        <v>1953.6</v>
      </c>
      <c r="V76" s="179">
        <f>T76+U76</f>
        <v>12485.300000000001</v>
      </c>
      <c r="W76" s="178"/>
      <c r="X76" s="112"/>
      <c r="Y76" s="184"/>
      <c r="Z76" s="178"/>
      <c r="AA76" s="112"/>
      <c r="AB76" s="184"/>
      <c r="AC76" s="178"/>
      <c r="AD76" s="112"/>
      <c r="AE76" s="184"/>
      <c r="AF76" s="178"/>
      <c r="AG76" s="2"/>
      <c r="AH76" s="96"/>
    </row>
    <row r="77" spans="1:35" ht="19.5" customHeight="1" x14ac:dyDescent="0.3">
      <c r="A77" s="59"/>
      <c r="B77" s="6" t="s">
        <v>35</v>
      </c>
      <c r="C77" s="13"/>
      <c r="D77" s="7"/>
      <c r="E77" s="7"/>
      <c r="F77" s="12"/>
      <c r="G77" s="7"/>
      <c r="H77" s="137"/>
      <c r="I77" s="93"/>
      <c r="J77" s="12"/>
      <c r="K77" s="44"/>
      <c r="L77" s="7"/>
      <c r="M77" s="179">
        <v>0</v>
      </c>
      <c r="N77" s="174">
        <f>10531.7-10531.7</f>
        <v>0</v>
      </c>
      <c r="O77" s="71"/>
      <c r="P77" s="179">
        <f t="shared" ref="P77:P78" si="89">N77+O77</f>
        <v>0</v>
      </c>
      <c r="Q77" s="174">
        <v>3057.5</v>
      </c>
      <c r="R77" s="49">
        <v>1698.2</v>
      </c>
      <c r="S77" s="206">
        <f t="shared" ref="S77:S78" si="90">Q77+R77</f>
        <v>4755.7</v>
      </c>
      <c r="T77" s="174">
        <v>10531.7</v>
      </c>
      <c r="U77" s="71">
        <v>1953.6</v>
      </c>
      <c r="V77" s="179">
        <f>T77+U77</f>
        <v>12485.300000000001</v>
      </c>
      <c r="W77" s="178"/>
      <c r="X77" s="112"/>
      <c r="Y77" s="184"/>
      <c r="Z77" s="178"/>
      <c r="AA77" s="112"/>
      <c r="AB77" s="184"/>
      <c r="AC77" s="178"/>
      <c r="AD77" s="112"/>
      <c r="AE77" s="184"/>
      <c r="AF77" s="178"/>
      <c r="AG77" s="2"/>
      <c r="AH77" s="96"/>
    </row>
    <row r="78" spans="1:35" ht="19.5" customHeight="1" x14ac:dyDescent="0.3">
      <c r="A78" s="59"/>
      <c r="B78" s="6" t="s">
        <v>39</v>
      </c>
      <c r="C78" s="13"/>
      <c r="D78" s="7"/>
      <c r="E78" s="7"/>
      <c r="F78" s="12"/>
      <c r="G78" s="7"/>
      <c r="H78" s="137"/>
      <c r="I78" s="93"/>
      <c r="J78" s="12"/>
      <c r="K78" s="44"/>
      <c r="L78" s="7"/>
      <c r="M78" s="179">
        <v>0</v>
      </c>
      <c r="N78" s="95"/>
      <c r="O78" s="69"/>
      <c r="P78" s="179">
        <f t="shared" si="89"/>
        <v>0</v>
      </c>
      <c r="Q78" s="95"/>
      <c r="R78" s="69"/>
      <c r="S78" s="179">
        <f t="shared" si="90"/>
        <v>0</v>
      </c>
      <c r="T78" s="95"/>
      <c r="U78" s="69"/>
      <c r="V78" s="93"/>
      <c r="W78" s="95">
        <v>293670.5</v>
      </c>
      <c r="X78" s="69"/>
      <c r="Y78" s="93">
        <f>W78+X78</f>
        <v>293670.5</v>
      </c>
      <c r="Z78" s="95">
        <f>293670.5-3651.8</f>
        <v>290018.7</v>
      </c>
      <c r="AA78" s="69"/>
      <c r="AB78" s="93">
        <f>Z78+AA78</f>
        <v>290018.7</v>
      </c>
      <c r="AC78" s="178"/>
      <c r="AD78" s="112"/>
      <c r="AE78" s="184"/>
      <c r="AF78" s="178"/>
      <c r="AG78" s="2"/>
      <c r="AH78" s="96"/>
    </row>
    <row r="79" spans="1:35" ht="141" customHeight="1" x14ac:dyDescent="0.3">
      <c r="A79" s="59">
        <v>25</v>
      </c>
      <c r="B79" s="63" t="s">
        <v>69</v>
      </c>
      <c r="C79" s="64"/>
      <c r="D79" s="65" t="s">
        <v>50</v>
      </c>
      <c r="E79" s="65">
        <v>8.2609999999999992</v>
      </c>
      <c r="F79" s="66"/>
      <c r="G79" s="65"/>
      <c r="H79" s="143"/>
      <c r="I79" s="123">
        <f>2007324+8527.6-115.1</f>
        <v>2015736.5</v>
      </c>
      <c r="J79" s="66"/>
      <c r="K79" s="67"/>
      <c r="L79" s="65"/>
      <c r="M79" s="182">
        <f t="shared" ref="M79:AH79" si="91">M80+M81</f>
        <v>0</v>
      </c>
      <c r="N79" s="176">
        <f t="shared" si="91"/>
        <v>0</v>
      </c>
      <c r="O79" s="73">
        <f t="shared" si="91"/>
        <v>0</v>
      </c>
      <c r="P79" s="182">
        <f t="shared" si="91"/>
        <v>0</v>
      </c>
      <c r="Q79" s="176">
        <f t="shared" si="91"/>
        <v>0</v>
      </c>
      <c r="R79" s="73">
        <f t="shared" si="91"/>
        <v>0</v>
      </c>
      <c r="S79" s="182">
        <f t="shared" si="91"/>
        <v>0</v>
      </c>
      <c r="T79" s="176">
        <f t="shared" si="91"/>
        <v>0</v>
      </c>
      <c r="U79" s="73">
        <f t="shared" si="91"/>
        <v>0</v>
      </c>
      <c r="V79" s="182">
        <f t="shared" si="91"/>
        <v>0</v>
      </c>
      <c r="W79" s="176">
        <f t="shared" si="91"/>
        <v>5990.8</v>
      </c>
      <c r="X79" s="176">
        <f t="shared" si="91"/>
        <v>-5990.8</v>
      </c>
      <c r="Y79" s="182">
        <f t="shared" si="91"/>
        <v>0</v>
      </c>
      <c r="Z79" s="176">
        <f t="shared" si="91"/>
        <v>9745.7000000000007</v>
      </c>
      <c r="AA79" s="176">
        <f t="shared" si="91"/>
        <v>-3208.5</v>
      </c>
      <c r="AB79" s="182">
        <f t="shared" si="91"/>
        <v>6537.2000000000007</v>
      </c>
      <c r="AC79" s="176">
        <f t="shared" si="91"/>
        <v>1000000</v>
      </c>
      <c r="AD79" s="176">
        <f t="shared" si="91"/>
        <v>-984223.1</v>
      </c>
      <c r="AE79" s="182">
        <f t="shared" si="91"/>
        <v>15776.9</v>
      </c>
      <c r="AF79" s="176">
        <f t="shared" si="91"/>
        <v>1000000</v>
      </c>
      <c r="AG79" s="176">
        <f t="shared" si="91"/>
        <v>993422.4</v>
      </c>
      <c r="AH79" s="182">
        <f t="shared" si="91"/>
        <v>1993422.4</v>
      </c>
      <c r="AI79" s="40">
        <f>I79-Y79-AB79-AE79-AH79</f>
        <v>0</v>
      </c>
    </row>
    <row r="80" spans="1:35" ht="19.5" customHeight="1" x14ac:dyDescent="0.3">
      <c r="A80" s="59"/>
      <c r="B80" s="26" t="s">
        <v>22</v>
      </c>
      <c r="C80" s="33"/>
      <c r="D80" s="28"/>
      <c r="E80" s="28"/>
      <c r="F80" s="34"/>
      <c r="G80" s="28"/>
      <c r="H80" s="138"/>
      <c r="I80" s="92"/>
      <c r="J80" s="34"/>
      <c r="K80" s="62"/>
      <c r="L80" s="28"/>
      <c r="M80" s="181"/>
      <c r="N80" s="175"/>
      <c r="O80" s="36"/>
      <c r="P80" s="181">
        <f>N80+O80</f>
        <v>0</v>
      </c>
      <c r="Q80" s="85"/>
      <c r="R80" s="35"/>
      <c r="S80" s="92">
        <f>Q80+R80</f>
        <v>0</v>
      </c>
      <c r="T80" s="85"/>
      <c r="U80" s="35"/>
      <c r="V80" s="92"/>
      <c r="W80" s="85"/>
      <c r="X80" s="35"/>
      <c r="Y80" s="92"/>
      <c r="Z80" s="85"/>
      <c r="AA80" s="35"/>
      <c r="AB80" s="92"/>
      <c r="AC80" s="85">
        <f>AC83</f>
        <v>1000000</v>
      </c>
      <c r="AD80" s="85">
        <f t="shared" ref="AD80:AE80" si="92">AD83</f>
        <v>-1000000</v>
      </c>
      <c r="AE80" s="92">
        <f t="shared" si="92"/>
        <v>0</v>
      </c>
      <c r="AF80" s="85">
        <f>AF83</f>
        <v>1000000</v>
      </c>
      <c r="AG80" s="85">
        <f t="shared" ref="AG80:AH80" si="93">AG83</f>
        <v>993422.4</v>
      </c>
      <c r="AH80" s="92">
        <f t="shared" si="93"/>
        <v>1993422.4</v>
      </c>
    </row>
    <row r="81" spans="1:36" ht="19.5" customHeight="1" x14ac:dyDescent="0.3">
      <c r="A81" s="59"/>
      <c r="B81" s="6" t="s">
        <v>23</v>
      </c>
      <c r="C81" s="13"/>
      <c r="D81" s="7"/>
      <c r="E81" s="7"/>
      <c r="F81" s="12"/>
      <c r="G81" s="7"/>
      <c r="H81" s="137"/>
      <c r="I81" s="93"/>
      <c r="J81" s="12"/>
      <c r="K81" s="44"/>
      <c r="L81" s="7"/>
      <c r="M81" s="93">
        <v>0</v>
      </c>
      <c r="N81" s="95">
        <f t="shared" ref="N81:O81" si="94">N82+N83</f>
        <v>0</v>
      </c>
      <c r="O81" s="69">
        <f t="shared" si="94"/>
        <v>0</v>
      </c>
      <c r="P81" s="93">
        <f>N81+O81</f>
        <v>0</v>
      </c>
      <c r="Q81" s="95">
        <f>Q82</f>
        <v>0</v>
      </c>
      <c r="R81" s="69">
        <f t="shared" ref="R81:S81" si="95">R82</f>
        <v>0</v>
      </c>
      <c r="S81" s="93">
        <f t="shared" si="95"/>
        <v>0</v>
      </c>
      <c r="T81" s="95"/>
      <c r="U81" s="69"/>
      <c r="V81" s="93"/>
      <c r="W81" s="95">
        <f>W82+W83</f>
        <v>5990.8</v>
      </c>
      <c r="X81" s="69">
        <f t="shared" ref="X81:Y81" si="96">X82+X83</f>
        <v>-5990.8</v>
      </c>
      <c r="Y81" s="93">
        <f t="shared" si="96"/>
        <v>0</v>
      </c>
      <c r="Z81" s="95">
        <f>Z82+Z83</f>
        <v>9745.7000000000007</v>
      </c>
      <c r="AA81" s="95">
        <f t="shared" ref="AA81:AB81" si="97">AA82+AA83</f>
        <v>-3208.5</v>
      </c>
      <c r="AB81" s="93">
        <f t="shared" si="97"/>
        <v>6537.2000000000007</v>
      </c>
      <c r="AC81" s="95">
        <f>AC82</f>
        <v>0</v>
      </c>
      <c r="AD81" s="95">
        <f t="shared" ref="AD81:AF81" si="98">AD82</f>
        <v>15776.9</v>
      </c>
      <c r="AE81" s="93">
        <f t="shared" si="98"/>
        <v>15776.9</v>
      </c>
      <c r="AF81" s="95">
        <f t="shared" si="98"/>
        <v>0</v>
      </c>
      <c r="AG81" s="2"/>
      <c r="AH81" s="96"/>
    </row>
    <row r="82" spans="1:36" ht="19.5" customHeight="1" x14ac:dyDescent="0.3">
      <c r="A82" s="59"/>
      <c r="B82" s="6" t="s">
        <v>35</v>
      </c>
      <c r="C82" s="13"/>
      <c r="D82" s="7"/>
      <c r="E82" s="7"/>
      <c r="F82" s="12"/>
      <c r="G82" s="7"/>
      <c r="H82" s="137"/>
      <c r="I82" s="105"/>
      <c r="J82" s="12"/>
      <c r="K82" s="44"/>
      <c r="L82" s="7"/>
      <c r="M82" s="93">
        <v>0</v>
      </c>
      <c r="N82" s="174">
        <f>3662+2328.8-5990.8</f>
        <v>0</v>
      </c>
      <c r="O82" s="71"/>
      <c r="P82" s="93">
        <f t="shared" ref="P82:P83" si="99">N82+O82</f>
        <v>0</v>
      </c>
      <c r="Q82" s="95">
        <f>9781.2-35.5-9745.7</f>
        <v>0</v>
      </c>
      <c r="R82" s="69"/>
      <c r="S82" s="93">
        <f t="shared" ref="S82:S83" si="100">Q82+R82</f>
        <v>0</v>
      </c>
      <c r="T82" s="190"/>
      <c r="U82" s="50"/>
      <c r="V82" s="204"/>
      <c r="W82" s="201">
        <v>5990.8</v>
      </c>
      <c r="X82" s="163">
        <v>-5990.8</v>
      </c>
      <c r="Y82" s="219">
        <f>W82+X82</f>
        <v>0</v>
      </c>
      <c r="Z82" s="213">
        <v>9745.7000000000007</v>
      </c>
      <c r="AA82" s="164">
        <v>-3208.5</v>
      </c>
      <c r="AB82" s="225">
        <f>Z82+AA82</f>
        <v>6537.2000000000007</v>
      </c>
      <c r="AC82" s="222"/>
      <c r="AD82" s="162">
        <v>15776.9</v>
      </c>
      <c r="AE82" s="230">
        <f>AC82+AD82</f>
        <v>15776.9</v>
      </c>
      <c r="AF82" s="222"/>
      <c r="AG82" s="2"/>
      <c r="AH82" s="96"/>
    </row>
    <row r="83" spans="1:36" ht="19.5" customHeight="1" x14ac:dyDescent="0.3">
      <c r="A83" s="59"/>
      <c r="B83" s="6" t="s">
        <v>39</v>
      </c>
      <c r="C83" s="13"/>
      <c r="D83" s="7"/>
      <c r="E83" s="7"/>
      <c r="F83" s="12"/>
      <c r="G83" s="7"/>
      <c r="H83" s="137"/>
      <c r="I83" s="105"/>
      <c r="J83" s="12"/>
      <c r="K83" s="44"/>
      <c r="L83" s="7"/>
      <c r="M83" s="93">
        <v>0</v>
      </c>
      <c r="N83" s="174"/>
      <c r="O83" s="71"/>
      <c r="P83" s="93">
        <f t="shared" si="99"/>
        <v>0</v>
      </c>
      <c r="Q83" s="95"/>
      <c r="R83" s="69"/>
      <c r="S83" s="93">
        <f t="shared" si="100"/>
        <v>0</v>
      </c>
      <c r="T83" s="95"/>
      <c r="U83" s="69"/>
      <c r="V83" s="93"/>
      <c r="W83" s="84"/>
      <c r="X83" s="48"/>
      <c r="Y83" s="91"/>
      <c r="Z83" s="84"/>
      <c r="AA83" s="48"/>
      <c r="AB83" s="91"/>
      <c r="AC83" s="84">
        <v>1000000</v>
      </c>
      <c r="AD83" s="48">
        <v>-1000000</v>
      </c>
      <c r="AE83" s="91">
        <f>AC83+AD83</f>
        <v>0</v>
      </c>
      <c r="AF83" s="84">
        <v>1000000</v>
      </c>
      <c r="AG83" s="164">
        <v>993422.4</v>
      </c>
      <c r="AH83" s="225">
        <f>AF83+AG83</f>
        <v>1993422.4</v>
      </c>
    </row>
    <row r="84" spans="1:36" ht="143.25" customHeight="1" x14ac:dyDescent="0.3">
      <c r="A84" s="59">
        <v>26</v>
      </c>
      <c r="B84" s="63" t="s">
        <v>70</v>
      </c>
      <c r="C84" s="64"/>
      <c r="D84" s="65" t="s">
        <v>50</v>
      </c>
      <c r="E84" s="65">
        <v>7.5890000000000004</v>
      </c>
      <c r="F84" s="66"/>
      <c r="G84" s="65"/>
      <c r="H84" s="143"/>
      <c r="I84" s="123">
        <v>1019376.3</v>
      </c>
      <c r="J84" s="100"/>
      <c r="K84" s="72"/>
      <c r="L84" s="68"/>
      <c r="M84" s="182">
        <f t="shared" ref="M84" si="101">M85+M86</f>
        <v>0</v>
      </c>
      <c r="N84" s="176">
        <f>N85+N86</f>
        <v>0</v>
      </c>
      <c r="O84" s="73">
        <f t="shared" ref="O84:AH84" si="102">O85+O86</f>
        <v>0</v>
      </c>
      <c r="P84" s="182">
        <f t="shared" si="102"/>
        <v>0</v>
      </c>
      <c r="Q84" s="176">
        <f t="shared" si="102"/>
        <v>0</v>
      </c>
      <c r="R84" s="73">
        <f t="shared" si="102"/>
        <v>0</v>
      </c>
      <c r="S84" s="182">
        <f>Q84+R84</f>
        <v>0</v>
      </c>
      <c r="T84" s="176">
        <f t="shared" si="102"/>
        <v>0</v>
      </c>
      <c r="U84" s="73">
        <f t="shared" si="102"/>
        <v>0</v>
      </c>
      <c r="V84" s="182">
        <f t="shared" si="102"/>
        <v>0</v>
      </c>
      <c r="W84" s="176">
        <f t="shared" si="102"/>
        <v>5815.2</v>
      </c>
      <c r="X84" s="176">
        <f t="shared" si="102"/>
        <v>-5815.2</v>
      </c>
      <c r="Y84" s="182">
        <f t="shared" si="102"/>
        <v>0</v>
      </c>
      <c r="Z84" s="176">
        <f t="shared" si="102"/>
        <v>13561.1</v>
      </c>
      <c r="AA84" s="176">
        <f t="shared" si="102"/>
        <v>-7045.5</v>
      </c>
      <c r="AB84" s="182">
        <f t="shared" si="102"/>
        <v>6515.6</v>
      </c>
      <c r="AC84" s="176">
        <f t="shared" si="102"/>
        <v>500000</v>
      </c>
      <c r="AD84" s="176">
        <f t="shared" si="102"/>
        <v>-474813.6</v>
      </c>
      <c r="AE84" s="182">
        <f t="shared" si="102"/>
        <v>25186.400000000001</v>
      </c>
      <c r="AF84" s="176">
        <f t="shared" si="102"/>
        <v>500000</v>
      </c>
      <c r="AG84" s="176">
        <f t="shared" si="102"/>
        <v>487674.3</v>
      </c>
      <c r="AH84" s="182">
        <f t="shared" si="102"/>
        <v>987674.3</v>
      </c>
      <c r="AI84" s="238">
        <f>I84-Y84-AB84-AE84-AH84</f>
        <v>0</v>
      </c>
    </row>
    <row r="85" spans="1:36" ht="21" customHeight="1" x14ac:dyDescent="0.3">
      <c r="A85" s="59"/>
      <c r="B85" s="26" t="s">
        <v>22</v>
      </c>
      <c r="C85" s="33"/>
      <c r="D85" s="28"/>
      <c r="E85" s="28"/>
      <c r="F85" s="34"/>
      <c r="G85" s="28"/>
      <c r="H85" s="138"/>
      <c r="I85" s="92"/>
      <c r="J85" s="85"/>
      <c r="K85" s="74"/>
      <c r="L85" s="35"/>
      <c r="M85" s="181"/>
      <c r="N85" s="175"/>
      <c r="O85" s="36"/>
      <c r="P85" s="181"/>
      <c r="Q85" s="85"/>
      <c r="R85" s="35"/>
      <c r="S85" s="92">
        <f>Q85+R85</f>
        <v>0</v>
      </c>
      <c r="T85" s="189"/>
      <c r="U85" s="37"/>
      <c r="V85" s="203"/>
      <c r="W85" s="198"/>
      <c r="X85" s="113"/>
      <c r="Y85" s="216"/>
      <c r="Z85" s="198"/>
      <c r="AA85" s="113"/>
      <c r="AB85" s="216"/>
      <c r="AC85" s="198">
        <f>AC88</f>
        <v>500000</v>
      </c>
      <c r="AD85" s="198">
        <f t="shared" ref="AD85:AE85" si="103">AD88</f>
        <v>-500000</v>
      </c>
      <c r="AE85" s="216">
        <f t="shared" si="103"/>
        <v>0</v>
      </c>
      <c r="AF85" s="198">
        <f>AF88</f>
        <v>500000</v>
      </c>
      <c r="AG85" s="198">
        <f t="shared" ref="AG85:AH85" si="104">AG88</f>
        <v>487674.3</v>
      </c>
      <c r="AH85" s="216">
        <f t="shared" si="104"/>
        <v>987674.3</v>
      </c>
    </row>
    <row r="86" spans="1:36" ht="21" customHeight="1" x14ac:dyDescent="0.3">
      <c r="A86" s="59"/>
      <c r="B86" s="6" t="s">
        <v>23</v>
      </c>
      <c r="C86" s="13"/>
      <c r="D86" s="7"/>
      <c r="E86" s="7"/>
      <c r="F86" s="12"/>
      <c r="G86" s="7"/>
      <c r="H86" s="137"/>
      <c r="I86" s="93"/>
      <c r="J86" s="95"/>
      <c r="K86" s="70"/>
      <c r="L86" s="69"/>
      <c r="M86" s="93">
        <f t="shared" ref="M86" si="105">M87+M88</f>
        <v>0</v>
      </c>
      <c r="N86" s="95">
        <f>N87+N88</f>
        <v>0</v>
      </c>
      <c r="O86" s="69">
        <f t="shared" ref="O86:P86" si="106">O87+O88</f>
        <v>0</v>
      </c>
      <c r="P86" s="93">
        <f t="shared" si="106"/>
        <v>0</v>
      </c>
      <c r="Q86" s="95">
        <f>Q87</f>
        <v>0</v>
      </c>
      <c r="R86" s="69">
        <f t="shared" ref="R86:S86" si="107">R87</f>
        <v>0</v>
      </c>
      <c r="S86" s="93">
        <f t="shared" si="107"/>
        <v>0</v>
      </c>
      <c r="T86" s="191"/>
      <c r="U86" s="75"/>
      <c r="V86" s="205"/>
      <c r="W86" s="95">
        <f>W87+W88</f>
        <v>5815.2</v>
      </c>
      <c r="X86" s="95">
        <f t="shared" ref="X86:Y86" si="108">X87+X88</f>
        <v>-5815.2</v>
      </c>
      <c r="Y86" s="93">
        <f t="shared" si="108"/>
        <v>0</v>
      </c>
      <c r="Z86" s="95">
        <f>Z87</f>
        <v>13561.1</v>
      </c>
      <c r="AA86" s="95">
        <f t="shared" ref="AA86:AB86" si="109">AA87</f>
        <v>-7045.5</v>
      </c>
      <c r="AB86" s="93">
        <f t="shared" si="109"/>
        <v>6515.6</v>
      </c>
      <c r="AC86" s="178">
        <f>AC87</f>
        <v>0</v>
      </c>
      <c r="AD86" s="178">
        <f t="shared" ref="AD86:AE86" si="110">AD87</f>
        <v>25186.400000000001</v>
      </c>
      <c r="AE86" s="184">
        <f t="shared" si="110"/>
        <v>25186.400000000001</v>
      </c>
      <c r="AF86" s="178"/>
      <c r="AG86" s="2"/>
      <c r="AH86" s="96"/>
    </row>
    <row r="87" spans="1:36" ht="19.5" customHeight="1" x14ac:dyDescent="0.3">
      <c r="A87" s="59"/>
      <c r="B87" s="6" t="s">
        <v>35</v>
      </c>
      <c r="C87" s="13"/>
      <c r="D87" s="7"/>
      <c r="E87" s="7"/>
      <c r="F87" s="12"/>
      <c r="G87" s="7"/>
      <c r="H87" s="137"/>
      <c r="I87" s="93"/>
      <c r="J87" s="95"/>
      <c r="K87" s="70"/>
      <c r="L87" s="69"/>
      <c r="M87" s="93">
        <v>0</v>
      </c>
      <c r="N87" s="95">
        <f>3581.5+2233.7-5815.2</f>
        <v>0</v>
      </c>
      <c r="O87" s="69"/>
      <c r="P87" s="93">
        <f t="shared" ref="P87:P88" si="111">N87+O87</f>
        <v>0</v>
      </c>
      <c r="Q87" s="95">
        <f>13496.6+64.5-13561.1</f>
        <v>0</v>
      </c>
      <c r="R87" s="69"/>
      <c r="S87" s="93">
        <f t="shared" ref="S87:S89" si="112">Q87+R87</f>
        <v>0</v>
      </c>
      <c r="T87" s="191"/>
      <c r="U87" s="75"/>
      <c r="V87" s="205"/>
      <c r="W87" s="95">
        <f>3581.5+2233.7</f>
        <v>5815.2</v>
      </c>
      <c r="X87" s="69">
        <v>-5815.2</v>
      </c>
      <c r="Y87" s="93">
        <f>W87+X87</f>
        <v>0</v>
      </c>
      <c r="Z87" s="95">
        <f>13496.6+64.5</f>
        <v>13561.1</v>
      </c>
      <c r="AA87" s="69">
        <v>-7045.5</v>
      </c>
      <c r="AB87" s="93">
        <f>Z87+AA87</f>
        <v>6515.6</v>
      </c>
      <c r="AC87" s="178"/>
      <c r="AD87" s="112">
        <v>25186.400000000001</v>
      </c>
      <c r="AE87" s="184">
        <f>AC87+AD87</f>
        <v>25186.400000000001</v>
      </c>
      <c r="AF87" s="178"/>
      <c r="AG87" s="2"/>
      <c r="AH87" s="96"/>
    </row>
    <row r="88" spans="1:36" ht="19.5" customHeight="1" x14ac:dyDescent="0.3">
      <c r="A88" s="59"/>
      <c r="B88" s="6" t="s">
        <v>39</v>
      </c>
      <c r="C88" s="13"/>
      <c r="D88" s="7"/>
      <c r="E88" s="7"/>
      <c r="F88" s="12"/>
      <c r="G88" s="7"/>
      <c r="H88" s="137"/>
      <c r="I88" s="93"/>
      <c r="J88" s="95"/>
      <c r="K88" s="70"/>
      <c r="L88" s="69"/>
      <c r="M88" s="93"/>
      <c r="N88" s="95"/>
      <c r="O88" s="69"/>
      <c r="P88" s="93">
        <f t="shared" si="111"/>
        <v>0</v>
      </c>
      <c r="Q88" s="95"/>
      <c r="R88" s="69"/>
      <c r="S88" s="93">
        <f t="shared" si="112"/>
        <v>0</v>
      </c>
      <c r="T88" s="191"/>
      <c r="U88" s="75"/>
      <c r="V88" s="205"/>
      <c r="W88" s="178"/>
      <c r="X88" s="112"/>
      <c r="Y88" s="184"/>
      <c r="Z88" s="178"/>
      <c r="AA88" s="112"/>
      <c r="AB88" s="184"/>
      <c r="AC88" s="178">
        <v>500000</v>
      </c>
      <c r="AD88" s="112">
        <v>-500000</v>
      </c>
      <c r="AE88" s="184">
        <f>AC88+AD88</f>
        <v>0</v>
      </c>
      <c r="AF88" s="178">
        <v>500000</v>
      </c>
      <c r="AG88" s="2">
        <v>487674.3</v>
      </c>
      <c r="AH88" s="184">
        <f>AF88+AG88</f>
        <v>987674.3</v>
      </c>
    </row>
    <row r="89" spans="1:36" ht="135.75" customHeight="1" x14ac:dyDescent="0.3">
      <c r="A89" s="348"/>
      <c r="B89" s="6" t="s">
        <v>117</v>
      </c>
      <c r="C89" s="8" t="s">
        <v>47</v>
      </c>
      <c r="D89" s="7" t="s">
        <v>50</v>
      </c>
      <c r="E89" s="7">
        <v>21.492999999999999</v>
      </c>
      <c r="F89" s="7"/>
      <c r="G89" s="7"/>
      <c r="H89" s="38">
        <v>117560.10248</v>
      </c>
      <c r="I89" s="89">
        <f>17414460+202+1380.002</f>
        <v>17416042.002</v>
      </c>
      <c r="J89" s="12"/>
      <c r="K89" s="7"/>
      <c r="L89" s="9"/>
      <c r="M89" s="91">
        <f t="shared" ref="M89" si="113">M90+M91</f>
        <v>0</v>
      </c>
      <c r="N89" s="174">
        <f>N90+N91</f>
        <v>0</v>
      </c>
      <c r="O89" s="71">
        <f t="shared" ref="O89:AH89" si="114">O90+O91</f>
        <v>0</v>
      </c>
      <c r="P89" s="179">
        <f t="shared" si="114"/>
        <v>0</v>
      </c>
      <c r="Q89" s="174">
        <f t="shared" si="114"/>
        <v>0</v>
      </c>
      <c r="R89" s="71"/>
      <c r="S89" s="93">
        <f t="shared" si="112"/>
        <v>0</v>
      </c>
      <c r="T89" s="174">
        <f t="shared" si="114"/>
        <v>0</v>
      </c>
      <c r="U89" s="71"/>
      <c r="V89" s="179"/>
      <c r="W89" s="174">
        <f t="shared" si="114"/>
        <v>4001380</v>
      </c>
      <c r="X89" s="174">
        <f t="shared" si="114"/>
        <v>0</v>
      </c>
      <c r="Y89" s="179">
        <f t="shared" si="114"/>
        <v>4001380</v>
      </c>
      <c r="Z89" s="174">
        <f t="shared" si="114"/>
        <v>4000000</v>
      </c>
      <c r="AA89" s="174">
        <f t="shared" si="114"/>
        <v>0</v>
      </c>
      <c r="AB89" s="179">
        <f t="shared" si="114"/>
        <v>4000000</v>
      </c>
      <c r="AC89" s="174">
        <f t="shared" si="114"/>
        <v>3600000</v>
      </c>
      <c r="AD89" s="174">
        <f t="shared" si="114"/>
        <v>0</v>
      </c>
      <c r="AE89" s="179">
        <f t="shared" si="114"/>
        <v>3600000</v>
      </c>
      <c r="AF89" s="226">
        <f t="shared" si="114"/>
        <v>5697099.8999999994</v>
      </c>
      <c r="AG89" s="226">
        <f t="shared" si="114"/>
        <v>0</v>
      </c>
      <c r="AH89" s="286">
        <f t="shared" si="114"/>
        <v>5697099.8999999994</v>
      </c>
      <c r="AI89" s="263">
        <f>I89-M89-P89-S89-V89-Y89-AB89-AE89-AH89</f>
        <v>117562.10200000089</v>
      </c>
      <c r="AJ89" s="300" t="s">
        <v>96</v>
      </c>
    </row>
    <row r="90" spans="1:36" ht="27" customHeight="1" x14ac:dyDescent="0.3">
      <c r="A90" s="348"/>
      <c r="B90" s="26" t="s">
        <v>22</v>
      </c>
      <c r="C90" s="8"/>
      <c r="D90" s="28"/>
      <c r="E90" s="28"/>
      <c r="F90" s="28"/>
      <c r="G90" s="28"/>
      <c r="H90" s="138"/>
      <c r="I90" s="90"/>
      <c r="J90" s="34"/>
      <c r="K90" s="28"/>
      <c r="L90" s="19"/>
      <c r="M90" s="181"/>
      <c r="N90" s="175"/>
      <c r="O90" s="36"/>
      <c r="P90" s="181">
        <f>N90+O90</f>
        <v>0</v>
      </c>
      <c r="Q90" s="175"/>
      <c r="R90" s="36"/>
      <c r="S90" s="181">
        <f>Q90+R90</f>
        <v>0</v>
      </c>
      <c r="T90" s="175"/>
      <c r="U90" s="36"/>
      <c r="V90" s="181"/>
      <c r="W90" s="189">
        <f>W93</f>
        <v>4000000</v>
      </c>
      <c r="X90" s="189">
        <f t="shared" ref="X90:Y90" si="115">X93</f>
        <v>0</v>
      </c>
      <c r="Y90" s="203">
        <f t="shared" si="115"/>
        <v>4000000</v>
      </c>
      <c r="Z90" s="189">
        <f>Z93</f>
        <v>4000000</v>
      </c>
      <c r="AA90" s="189">
        <f t="shared" ref="AA90:AB90" si="116">AA93</f>
        <v>0</v>
      </c>
      <c r="AB90" s="203">
        <f t="shared" si="116"/>
        <v>4000000</v>
      </c>
      <c r="AC90" s="189">
        <f>AC93</f>
        <v>3600000</v>
      </c>
      <c r="AD90" s="189">
        <f t="shared" ref="AD90:AE90" si="117">AD93</f>
        <v>0</v>
      </c>
      <c r="AE90" s="203">
        <f t="shared" si="117"/>
        <v>3600000</v>
      </c>
      <c r="AF90" s="227">
        <f>AF93</f>
        <v>5697099.8999999994</v>
      </c>
      <c r="AG90" s="227">
        <f>AG93</f>
        <v>0</v>
      </c>
      <c r="AH90" s="287">
        <f>AH93</f>
        <v>5697099.8999999994</v>
      </c>
    </row>
    <row r="91" spans="1:36" ht="27" customHeight="1" x14ac:dyDescent="0.3">
      <c r="A91" s="348"/>
      <c r="B91" s="6" t="s">
        <v>23</v>
      </c>
      <c r="C91" s="8"/>
      <c r="D91" s="7"/>
      <c r="E91" s="7"/>
      <c r="F91" s="7"/>
      <c r="G91" s="7"/>
      <c r="H91" s="137"/>
      <c r="I91" s="89"/>
      <c r="J91" s="12"/>
      <c r="K91" s="7"/>
      <c r="L91" s="9"/>
      <c r="M91" s="93">
        <v>0</v>
      </c>
      <c r="N91" s="174"/>
      <c r="O91" s="71"/>
      <c r="P91" s="179"/>
      <c r="Q91" s="174"/>
      <c r="R91" s="71"/>
      <c r="S91" s="179">
        <f>Q91+R91</f>
        <v>0</v>
      </c>
      <c r="T91" s="174"/>
      <c r="U91" s="71"/>
      <c r="V91" s="179"/>
      <c r="W91" s="178">
        <f>W92</f>
        <v>1380</v>
      </c>
      <c r="X91" s="178">
        <f t="shared" ref="X91:Y91" si="118">X92</f>
        <v>0</v>
      </c>
      <c r="Y91" s="184">
        <f t="shared" si="118"/>
        <v>1380</v>
      </c>
      <c r="Z91" s="178"/>
      <c r="AA91" s="112"/>
      <c r="AB91" s="184"/>
      <c r="AC91" s="178"/>
      <c r="AD91" s="112"/>
      <c r="AE91" s="184"/>
      <c r="AF91" s="178"/>
      <c r="AG91" s="2"/>
      <c r="AH91" s="96"/>
    </row>
    <row r="92" spans="1:36" ht="27" customHeight="1" x14ac:dyDescent="0.3">
      <c r="A92" s="348"/>
      <c r="B92" s="6" t="s">
        <v>35</v>
      </c>
      <c r="C92" s="8"/>
      <c r="D92" s="7"/>
      <c r="E92" s="7"/>
      <c r="F92" s="7"/>
      <c r="G92" s="7"/>
      <c r="H92" s="137"/>
      <c r="I92" s="89"/>
      <c r="J92" s="12"/>
      <c r="K92" s="7"/>
      <c r="L92" s="9"/>
      <c r="M92" s="93">
        <v>0</v>
      </c>
      <c r="N92" s="174"/>
      <c r="O92" s="71"/>
      <c r="P92" s="179"/>
      <c r="Q92" s="174"/>
      <c r="R92" s="71"/>
      <c r="S92" s="179">
        <f t="shared" ref="S92:S96" si="119">Q92+R92</f>
        <v>0</v>
      </c>
      <c r="T92" s="174"/>
      <c r="U92" s="71"/>
      <c r="V92" s="179"/>
      <c r="W92" s="178">
        <v>1380</v>
      </c>
      <c r="X92" s="112"/>
      <c r="Y92" s="184">
        <f>W92+X92</f>
        <v>1380</v>
      </c>
      <c r="Z92" s="178"/>
      <c r="AA92" s="112"/>
      <c r="AB92" s="184"/>
      <c r="AC92" s="178"/>
      <c r="AD92" s="112"/>
      <c r="AE92" s="184"/>
      <c r="AF92" s="178"/>
      <c r="AG92" s="2"/>
      <c r="AH92" s="96"/>
    </row>
    <row r="93" spans="1:36" ht="27" customHeight="1" x14ac:dyDescent="0.3">
      <c r="A93" s="348"/>
      <c r="B93" s="6" t="s">
        <v>44</v>
      </c>
      <c r="C93" s="8"/>
      <c r="D93" s="7"/>
      <c r="E93" s="7"/>
      <c r="F93" s="7"/>
      <c r="G93" s="7"/>
      <c r="H93" s="137"/>
      <c r="I93" s="89"/>
      <c r="J93" s="12"/>
      <c r="K93" s="7"/>
      <c r="L93" s="9"/>
      <c r="M93" s="179"/>
      <c r="N93" s="174"/>
      <c r="O93" s="71"/>
      <c r="P93" s="179">
        <f>N93+O93</f>
        <v>0</v>
      </c>
      <c r="Q93" s="187"/>
      <c r="R93" s="49"/>
      <c r="S93" s="179">
        <f t="shared" si="119"/>
        <v>0</v>
      </c>
      <c r="T93" s="187"/>
      <c r="U93" s="49"/>
      <c r="V93" s="206"/>
      <c r="W93" s="190">
        <v>4000000</v>
      </c>
      <c r="X93" s="50"/>
      <c r="Y93" s="204">
        <f>W93+X93</f>
        <v>4000000</v>
      </c>
      <c r="Z93" s="190">
        <v>4000000</v>
      </c>
      <c r="AA93" s="50"/>
      <c r="AB93" s="204">
        <f>Z93+AA93</f>
        <v>4000000</v>
      </c>
      <c r="AC93" s="190">
        <v>3600000</v>
      </c>
      <c r="AD93" s="50"/>
      <c r="AE93" s="204">
        <f>AC93+AD93</f>
        <v>3600000</v>
      </c>
      <c r="AF93" s="228">
        <f>3679205.9+2001000+135254.1-1000-117362.012+1.912</f>
        <v>5697099.8999999994</v>
      </c>
      <c r="AG93" s="2"/>
      <c r="AH93" s="262">
        <f>AF93+AG93</f>
        <v>5697099.8999999994</v>
      </c>
    </row>
    <row r="94" spans="1:36" ht="92.25" customHeight="1" x14ac:dyDescent="0.3">
      <c r="A94" s="59"/>
      <c r="B94" s="124" t="s">
        <v>57</v>
      </c>
      <c r="C94" s="8"/>
      <c r="D94" s="7">
        <v>2022</v>
      </c>
      <c r="E94" s="7">
        <v>6.46</v>
      </c>
      <c r="F94" s="12"/>
      <c r="G94" s="7"/>
      <c r="H94" s="137"/>
      <c r="I94" s="125">
        <v>83960</v>
      </c>
      <c r="J94" s="126"/>
      <c r="K94" s="45"/>
      <c r="L94" s="127"/>
      <c r="M94" s="183">
        <f t="shared" ref="M94:V94" si="120">M95+M96</f>
        <v>1477.7</v>
      </c>
      <c r="N94" s="177">
        <f t="shared" si="120"/>
        <v>0</v>
      </c>
      <c r="O94" s="129">
        <f t="shared" si="120"/>
        <v>0</v>
      </c>
      <c r="P94" s="183">
        <f t="shared" si="120"/>
        <v>0</v>
      </c>
      <c r="Q94" s="177">
        <f t="shared" si="120"/>
        <v>0</v>
      </c>
      <c r="R94" s="129"/>
      <c r="S94" s="183">
        <f t="shared" si="119"/>
        <v>0</v>
      </c>
      <c r="T94" s="177">
        <f t="shared" si="120"/>
        <v>79960</v>
      </c>
      <c r="U94" s="129">
        <f t="shared" si="120"/>
        <v>2522.3000000000002</v>
      </c>
      <c r="V94" s="183">
        <f t="shared" si="120"/>
        <v>82482.3</v>
      </c>
      <c r="W94" s="202"/>
      <c r="X94" s="130"/>
      <c r="Y94" s="220"/>
      <c r="Z94" s="178"/>
      <c r="AA94" s="112"/>
      <c r="AB94" s="184"/>
      <c r="AC94" s="178"/>
      <c r="AD94" s="112"/>
      <c r="AE94" s="184"/>
      <c r="AF94" s="178"/>
      <c r="AG94" s="2"/>
      <c r="AH94" s="96"/>
      <c r="AI94" s="264">
        <f>I94-M94-P94-S94-V94-Y94-AB94-AE94-AH94</f>
        <v>0</v>
      </c>
    </row>
    <row r="95" spans="1:36" ht="21" customHeight="1" x14ac:dyDescent="0.3">
      <c r="A95" s="59"/>
      <c r="B95" s="6" t="s">
        <v>35</v>
      </c>
      <c r="C95" s="8"/>
      <c r="D95" s="7"/>
      <c r="E95" s="7"/>
      <c r="F95" s="12"/>
      <c r="G95" s="7"/>
      <c r="H95" s="137"/>
      <c r="I95" s="125"/>
      <c r="J95" s="126"/>
      <c r="K95" s="45"/>
      <c r="L95" s="127"/>
      <c r="M95" s="183">
        <v>1477.7</v>
      </c>
      <c r="N95" s="177"/>
      <c r="O95" s="129"/>
      <c r="P95" s="183"/>
      <c r="Q95" s="188"/>
      <c r="R95" s="128"/>
      <c r="S95" s="183">
        <f t="shared" si="119"/>
        <v>0</v>
      </c>
      <c r="T95" s="192"/>
      <c r="U95" s="131"/>
      <c r="V95" s="207"/>
      <c r="W95" s="202"/>
      <c r="X95" s="130"/>
      <c r="Y95" s="220"/>
      <c r="Z95" s="178"/>
      <c r="AA95" s="112"/>
      <c r="AB95" s="184"/>
      <c r="AC95" s="178"/>
      <c r="AD95" s="112"/>
      <c r="AE95" s="184"/>
      <c r="AF95" s="178"/>
      <c r="AG95" s="2"/>
      <c r="AH95" s="96"/>
    </row>
    <row r="96" spans="1:36" ht="21" customHeight="1" thickBot="1" x14ac:dyDescent="0.35">
      <c r="A96" s="59"/>
      <c r="B96" s="6" t="s">
        <v>36</v>
      </c>
      <c r="C96" s="8"/>
      <c r="D96" s="7"/>
      <c r="E96" s="7"/>
      <c r="F96" s="12"/>
      <c r="G96" s="7"/>
      <c r="H96" s="137"/>
      <c r="I96" s="125"/>
      <c r="J96" s="126"/>
      <c r="K96" s="45"/>
      <c r="L96" s="127"/>
      <c r="M96" s="183"/>
      <c r="N96" s="177"/>
      <c r="O96" s="129"/>
      <c r="P96" s="183">
        <f>N96+O96</f>
        <v>0</v>
      </c>
      <c r="Q96" s="188"/>
      <c r="R96" s="128"/>
      <c r="S96" s="183">
        <f t="shared" si="119"/>
        <v>0</v>
      </c>
      <c r="T96" s="193">
        <v>79960</v>
      </c>
      <c r="U96" s="159">
        <v>2522.3000000000002</v>
      </c>
      <c r="V96" s="208">
        <f>T96+U96</f>
        <v>82482.3</v>
      </c>
      <c r="W96" s="202"/>
      <c r="X96" s="130"/>
      <c r="Y96" s="220"/>
      <c r="Z96" s="178"/>
      <c r="AA96" s="112"/>
      <c r="AB96" s="184"/>
      <c r="AC96" s="178"/>
      <c r="AD96" s="112"/>
      <c r="AE96" s="184"/>
      <c r="AF96" s="178"/>
      <c r="AG96" s="2"/>
      <c r="AH96" s="96"/>
    </row>
    <row r="97" spans="1:34" ht="81" customHeight="1" thickBot="1" x14ac:dyDescent="0.35">
      <c r="A97" s="59"/>
      <c r="B97" s="316" t="s">
        <v>120</v>
      </c>
      <c r="C97" s="8"/>
      <c r="D97" s="7">
        <v>2020</v>
      </c>
      <c r="E97" s="7"/>
      <c r="F97" s="12"/>
      <c r="G97" s="7" t="s">
        <v>64</v>
      </c>
      <c r="H97" s="137"/>
      <c r="I97" s="125">
        <v>9645.4</v>
      </c>
      <c r="J97" s="126"/>
      <c r="K97" s="45"/>
      <c r="L97" s="127"/>
      <c r="M97" s="183"/>
      <c r="N97" s="177">
        <f>N98+N99</f>
        <v>9645.4</v>
      </c>
      <c r="O97" s="129">
        <f>O98+O99</f>
        <v>0</v>
      </c>
      <c r="P97" s="183">
        <f>N97+O97</f>
        <v>9645.4</v>
      </c>
      <c r="Q97" s="188"/>
      <c r="R97" s="128"/>
      <c r="S97" s="183"/>
      <c r="T97" s="192"/>
      <c r="U97" s="131"/>
      <c r="V97" s="207"/>
      <c r="W97" s="202"/>
      <c r="X97" s="130"/>
      <c r="Y97" s="220"/>
      <c r="Z97" s="178"/>
      <c r="AA97" s="112"/>
      <c r="AB97" s="184"/>
      <c r="AC97" s="178"/>
      <c r="AD97" s="112"/>
      <c r="AE97" s="184"/>
      <c r="AF97" s="178"/>
      <c r="AG97" s="2"/>
      <c r="AH97" s="96"/>
    </row>
    <row r="98" spans="1:34" ht="21" customHeight="1" x14ac:dyDescent="0.3">
      <c r="A98" s="59"/>
      <c r="B98" s="6" t="s">
        <v>35</v>
      </c>
      <c r="C98" s="8"/>
      <c r="D98" s="7"/>
      <c r="E98" s="7"/>
      <c r="F98" s="12"/>
      <c r="G98" s="7"/>
      <c r="H98" s="137"/>
      <c r="I98" s="125"/>
      <c r="J98" s="126"/>
      <c r="K98" s="45"/>
      <c r="L98" s="127"/>
      <c r="M98" s="183"/>
      <c r="N98" s="177">
        <v>1645.4</v>
      </c>
      <c r="O98" s="129"/>
      <c r="P98" s="183">
        <f t="shared" ref="P98:P99" si="121">N98+O98</f>
        <v>1645.4</v>
      </c>
      <c r="Q98" s="188"/>
      <c r="R98" s="128"/>
      <c r="S98" s="183"/>
      <c r="T98" s="192"/>
      <c r="U98" s="131"/>
      <c r="V98" s="207"/>
      <c r="W98" s="202"/>
      <c r="X98" s="130"/>
      <c r="Y98" s="220"/>
      <c r="Z98" s="178"/>
      <c r="AA98" s="112"/>
      <c r="AB98" s="184"/>
      <c r="AC98" s="178"/>
      <c r="AD98" s="112"/>
      <c r="AE98" s="184"/>
      <c r="AF98" s="178"/>
      <c r="AG98" s="2"/>
      <c r="AH98" s="96"/>
    </row>
    <row r="99" spans="1:34" ht="21" customHeight="1" x14ac:dyDescent="0.3">
      <c r="A99" s="59"/>
      <c r="B99" s="6" t="s">
        <v>36</v>
      </c>
      <c r="C99" s="8"/>
      <c r="D99" s="7"/>
      <c r="E99" s="7"/>
      <c r="F99" s="12"/>
      <c r="G99" s="7"/>
      <c r="H99" s="137"/>
      <c r="I99" s="125"/>
      <c r="J99" s="126"/>
      <c r="K99" s="45"/>
      <c r="L99" s="127"/>
      <c r="M99" s="183"/>
      <c r="N99" s="177">
        <v>8000</v>
      </c>
      <c r="O99" s="129"/>
      <c r="P99" s="183">
        <f t="shared" si="121"/>
        <v>8000</v>
      </c>
      <c r="Q99" s="188"/>
      <c r="R99" s="128"/>
      <c r="S99" s="183"/>
      <c r="T99" s="192"/>
      <c r="U99" s="131"/>
      <c r="V99" s="207"/>
      <c r="W99" s="202"/>
      <c r="X99" s="130"/>
      <c r="Y99" s="220"/>
      <c r="Z99" s="178"/>
      <c r="AA99" s="112"/>
      <c r="AB99" s="184"/>
      <c r="AC99" s="178"/>
      <c r="AD99" s="112"/>
      <c r="AE99" s="184"/>
      <c r="AF99" s="178"/>
      <c r="AG99" s="2"/>
      <c r="AH99" s="96"/>
    </row>
    <row r="100" spans="1:34" ht="93" customHeight="1" x14ac:dyDescent="0.3">
      <c r="A100" s="59"/>
      <c r="B100" s="315" t="s">
        <v>121</v>
      </c>
      <c r="C100" s="8"/>
      <c r="D100" s="7">
        <v>2020</v>
      </c>
      <c r="E100" s="7"/>
      <c r="F100" s="12"/>
      <c r="G100" s="7" t="s">
        <v>65</v>
      </c>
      <c r="H100" s="137"/>
      <c r="I100" s="125">
        <v>4971.2</v>
      </c>
      <c r="J100" s="126"/>
      <c r="K100" s="45"/>
      <c r="L100" s="127"/>
      <c r="M100" s="183">
        <v>0</v>
      </c>
      <c r="N100" s="177">
        <f>N101+N102</f>
        <v>4412.6000000000004</v>
      </c>
      <c r="O100" s="129">
        <f>O101+O102</f>
        <v>0</v>
      </c>
      <c r="P100" s="183">
        <f>N100+O100</f>
        <v>4412.6000000000004</v>
      </c>
      <c r="Q100" s="188"/>
      <c r="R100" s="128"/>
      <c r="S100" s="183"/>
      <c r="T100" s="192"/>
      <c r="U100" s="131"/>
      <c r="V100" s="207"/>
      <c r="W100" s="202"/>
      <c r="X100" s="130"/>
      <c r="Y100" s="220"/>
      <c r="Z100" s="178"/>
      <c r="AA100" s="112"/>
      <c r="AB100" s="184"/>
      <c r="AC100" s="178"/>
      <c r="AD100" s="112"/>
      <c r="AE100" s="184"/>
      <c r="AF100" s="178"/>
      <c r="AG100" s="2"/>
      <c r="AH100" s="96"/>
    </row>
    <row r="101" spans="1:34" ht="21" customHeight="1" x14ac:dyDescent="0.3">
      <c r="A101" s="59"/>
      <c r="B101" s="6" t="s">
        <v>35</v>
      </c>
      <c r="C101" s="8"/>
      <c r="D101" s="7"/>
      <c r="E101" s="7"/>
      <c r="F101" s="12"/>
      <c r="G101" s="7"/>
      <c r="H101" s="137"/>
      <c r="I101" s="125"/>
      <c r="J101" s="126"/>
      <c r="K101" s="45"/>
      <c r="L101" s="127"/>
      <c r="M101" s="183">
        <v>0</v>
      </c>
      <c r="N101" s="177">
        <v>629.1</v>
      </c>
      <c r="O101" s="129"/>
      <c r="P101" s="183">
        <f t="shared" ref="P101:P102" si="122">N101+O101</f>
        <v>629.1</v>
      </c>
      <c r="Q101" s="188"/>
      <c r="R101" s="128"/>
      <c r="S101" s="183"/>
      <c r="T101" s="192"/>
      <c r="U101" s="131"/>
      <c r="V101" s="207"/>
      <c r="W101" s="202"/>
      <c r="X101" s="130"/>
      <c r="Y101" s="220"/>
      <c r="Z101" s="178"/>
      <c r="AA101" s="112"/>
      <c r="AB101" s="184"/>
      <c r="AC101" s="178"/>
      <c r="AD101" s="112"/>
      <c r="AE101" s="184"/>
      <c r="AF101" s="178"/>
      <c r="AG101" s="2"/>
      <c r="AH101" s="96"/>
    </row>
    <row r="102" spans="1:34" ht="21" customHeight="1" x14ac:dyDescent="0.3">
      <c r="A102" s="59"/>
      <c r="B102" s="6" t="s">
        <v>36</v>
      </c>
      <c r="C102" s="8"/>
      <c r="D102" s="7"/>
      <c r="E102" s="7"/>
      <c r="F102" s="12"/>
      <c r="G102" s="7"/>
      <c r="H102" s="137"/>
      <c r="I102" s="125"/>
      <c r="J102" s="126"/>
      <c r="K102" s="45"/>
      <c r="L102" s="127"/>
      <c r="M102" s="183">
        <v>0</v>
      </c>
      <c r="N102" s="177">
        <v>3783.5</v>
      </c>
      <c r="O102" s="129"/>
      <c r="P102" s="183">
        <f t="shared" si="122"/>
        <v>3783.5</v>
      </c>
      <c r="Q102" s="188"/>
      <c r="R102" s="128"/>
      <c r="S102" s="183"/>
      <c r="T102" s="192"/>
      <c r="U102" s="131"/>
      <c r="V102" s="207"/>
      <c r="W102" s="202"/>
      <c r="X102" s="130"/>
      <c r="Y102" s="220"/>
      <c r="Z102" s="178"/>
      <c r="AA102" s="112"/>
      <c r="AB102" s="184"/>
      <c r="AC102" s="178"/>
      <c r="AD102" s="112"/>
      <c r="AE102" s="184"/>
      <c r="AF102" s="178"/>
      <c r="AG102" s="2"/>
      <c r="AH102" s="96"/>
    </row>
    <row r="103" spans="1:34" ht="76.5" customHeight="1" x14ac:dyDescent="0.3">
      <c r="A103" s="59"/>
      <c r="B103" s="132" t="s">
        <v>122</v>
      </c>
      <c r="C103" s="8"/>
      <c r="D103" s="7">
        <v>2020</v>
      </c>
      <c r="E103" s="7"/>
      <c r="F103" s="12"/>
      <c r="G103" s="7" t="s">
        <v>65</v>
      </c>
      <c r="H103" s="137"/>
      <c r="I103" s="125">
        <v>4523.1000000000004</v>
      </c>
      <c r="J103" s="126"/>
      <c r="K103" s="45"/>
      <c r="L103" s="127"/>
      <c r="M103" s="183"/>
      <c r="N103" s="177">
        <f>N104+N105</f>
        <v>4523.1000000000004</v>
      </c>
      <c r="O103" s="129">
        <f>O104+O105</f>
        <v>0</v>
      </c>
      <c r="P103" s="183">
        <f>N103+O103</f>
        <v>4523.1000000000004</v>
      </c>
      <c r="Q103" s="188"/>
      <c r="R103" s="128"/>
      <c r="S103" s="183"/>
      <c r="T103" s="192"/>
      <c r="U103" s="131"/>
      <c r="V103" s="207"/>
      <c r="W103" s="202"/>
      <c r="X103" s="130"/>
      <c r="Y103" s="220"/>
      <c r="Z103" s="178"/>
      <c r="AA103" s="112"/>
      <c r="AB103" s="184"/>
      <c r="AC103" s="178"/>
      <c r="AD103" s="112"/>
      <c r="AE103" s="184"/>
      <c r="AF103" s="178"/>
      <c r="AG103" s="2"/>
      <c r="AH103" s="96"/>
    </row>
    <row r="104" spans="1:34" ht="21" customHeight="1" x14ac:dyDescent="0.3">
      <c r="A104" s="59"/>
      <c r="B104" s="6" t="s">
        <v>35</v>
      </c>
      <c r="C104" s="8"/>
      <c r="D104" s="7"/>
      <c r="E104" s="7"/>
      <c r="F104" s="12"/>
      <c r="G104" s="7"/>
      <c r="H104" s="137"/>
      <c r="I104" s="125"/>
      <c r="J104" s="126"/>
      <c r="K104" s="45"/>
      <c r="L104" s="127"/>
      <c r="M104" s="183"/>
      <c r="N104" s="177">
        <v>673.1</v>
      </c>
      <c r="O104" s="129"/>
      <c r="P104" s="183">
        <f t="shared" ref="P104:P105" si="123">N104+O104</f>
        <v>673.1</v>
      </c>
      <c r="Q104" s="188"/>
      <c r="R104" s="128"/>
      <c r="S104" s="183"/>
      <c r="T104" s="192"/>
      <c r="U104" s="131"/>
      <c r="V104" s="207"/>
      <c r="W104" s="202"/>
      <c r="X104" s="130"/>
      <c r="Y104" s="220"/>
      <c r="Z104" s="178"/>
      <c r="AA104" s="112"/>
      <c r="AB104" s="184"/>
      <c r="AC104" s="178"/>
      <c r="AD104" s="112"/>
      <c r="AE104" s="184"/>
      <c r="AF104" s="178"/>
      <c r="AG104" s="2"/>
      <c r="AH104" s="96"/>
    </row>
    <row r="105" spans="1:34" ht="21" customHeight="1" x14ac:dyDescent="0.3">
      <c r="A105" s="59"/>
      <c r="B105" s="6" t="s">
        <v>36</v>
      </c>
      <c r="C105" s="8"/>
      <c r="D105" s="7"/>
      <c r="E105" s="7"/>
      <c r="F105" s="12"/>
      <c r="G105" s="7"/>
      <c r="H105" s="137"/>
      <c r="I105" s="125"/>
      <c r="J105" s="126"/>
      <c r="K105" s="45"/>
      <c r="L105" s="127"/>
      <c r="M105" s="183"/>
      <c r="N105" s="177">
        <v>3850</v>
      </c>
      <c r="O105" s="129"/>
      <c r="P105" s="183">
        <f t="shared" si="123"/>
        <v>3850</v>
      </c>
      <c r="Q105" s="188"/>
      <c r="R105" s="128"/>
      <c r="S105" s="183"/>
      <c r="T105" s="192"/>
      <c r="U105" s="131"/>
      <c r="V105" s="207"/>
      <c r="W105" s="202"/>
      <c r="X105" s="130"/>
      <c r="Y105" s="220"/>
      <c r="Z105" s="178"/>
      <c r="AA105" s="112"/>
      <c r="AB105" s="184"/>
      <c r="AC105" s="178"/>
      <c r="AD105" s="112"/>
      <c r="AE105" s="184"/>
      <c r="AF105" s="178"/>
      <c r="AG105" s="2"/>
      <c r="AH105" s="96"/>
    </row>
    <row r="106" spans="1:34" ht="93" customHeight="1" x14ac:dyDescent="0.3">
      <c r="A106" s="59"/>
      <c r="B106" s="132" t="s">
        <v>113</v>
      </c>
      <c r="C106" s="8"/>
      <c r="D106" s="7">
        <v>2021</v>
      </c>
      <c r="E106" s="7"/>
      <c r="F106" s="12"/>
      <c r="G106" s="7" t="s">
        <v>71</v>
      </c>
      <c r="H106" s="137"/>
      <c r="I106" s="125">
        <v>19453</v>
      </c>
      <c r="J106" s="126"/>
      <c r="K106" s="45"/>
      <c r="L106" s="127"/>
      <c r="M106" s="183"/>
      <c r="N106" s="177">
        <f>N107+N108</f>
        <v>1913</v>
      </c>
      <c r="O106" s="129">
        <f>O107+O108</f>
        <v>0</v>
      </c>
      <c r="P106" s="183">
        <f>N106+O106</f>
        <v>1913</v>
      </c>
      <c r="Q106" s="177">
        <f>Q107+Q108</f>
        <v>17540</v>
      </c>
      <c r="R106" s="129">
        <f t="shared" ref="R106:S106" si="124">R107+R108</f>
        <v>0</v>
      </c>
      <c r="S106" s="292">
        <f t="shared" si="124"/>
        <v>17540</v>
      </c>
      <c r="T106" s="192"/>
      <c r="U106" s="131"/>
      <c r="V106" s="207"/>
      <c r="W106" s="202"/>
      <c r="X106" s="130"/>
      <c r="Y106" s="220"/>
      <c r="Z106" s="178"/>
      <c r="AA106" s="112"/>
      <c r="AB106" s="184"/>
      <c r="AC106" s="178"/>
      <c r="AD106" s="112"/>
      <c r="AE106" s="184"/>
      <c r="AF106" s="178"/>
      <c r="AG106" s="2"/>
      <c r="AH106" s="96"/>
    </row>
    <row r="107" spans="1:34" ht="21" customHeight="1" x14ac:dyDescent="0.3">
      <c r="A107" s="59"/>
      <c r="B107" s="6" t="s">
        <v>35</v>
      </c>
      <c r="C107" s="8"/>
      <c r="D107" s="7"/>
      <c r="E107" s="7"/>
      <c r="F107" s="12"/>
      <c r="G107" s="7"/>
      <c r="H107" s="137"/>
      <c r="I107" s="125"/>
      <c r="J107" s="126"/>
      <c r="K107" s="45"/>
      <c r="L107" s="127"/>
      <c r="M107" s="183"/>
      <c r="N107" s="177">
        <f>1953-40</f>
        <v>1913</v>
      </c>
      <c r="O107" s="129"/>
      <c r="P107" s="183">
        <f t="shared" ref="P107:P108" si="125">N107+O107</f>
        <v>1913</v>
      </c>
      <c r="Q107" s="177">
        <v>40</v>
      </c>
      <c r="R107" s="129"/>
      <c r="S107" s="183">
        <f>Q107+R107</f>
        <v>40</v>
      </c>
      <c r="T107" s="192"/>
      <c r="U107" s="131"/>
      <c r="V107" s="207"/>
      <c r="W107" s="202"/>
      <c r="X107" s="130"/>
      <c r="Y107" s="220"/>
      <c r="Z107" s="178"/>
      <c r="AA107" s="112"/>
      <c r="AB107" s="184"/>
      <c r="AC107" s="178"/>
      <c r="AD107" s="112"/>
      <c r="AE107" s="184"/>
      <c r="AF107" s="178"/>
      <c r="AG107" s="2"/>
      <c r="AH107" s="96"/>
    </row>
    <row r="108" spans="1:34" ht="21" customHeight="1" thickBot="1" x14ac:dyDescent="0.35">
      <c r="A108" s="59"/>
      <c r="B108" s="6" t="s">
        <v>36</v>
      </c>
      <c r="C108" s="8"/>
      <c r="D108" s="7"/>
      <c r="E108" s="7"/>
      <c r="F108" s="12"/>
      <c r="G108" s="7"/>
      <c r="H108" s="137"/>
      <c r="I108" s="125"/>
      <c r="J108" s="126"/>
      <c r="K108" s="45"/>
      <c r="L108" s="127"/>
      <c r="M108" s="183"/>
      <c r="N108" s="177">
        <f>17500-17500</f>
        <v>0</v>
      </c>
      <c r="O108" s="129"/>
      <c r="P108" s="183">
        <f t="shared" si="125"/>
        <v>0</v>
      </c>
      <c r="Q108" s="177">
        <v>17500</v>
      </c>
      <c r="R108" s="129"/>
      <c r="S108" s="183">
        <f>Q108+R108</f>
        <v>17500</v>
      </c>
      <c r="T108" s="192"/>
      <c r="U108" s="131"/>
      <c r="V108" s="207"/>
      <c r="W108" s="202"/>
      <c r="X108" s="130"/>
      <c r="Y108" s="220"/>
      <c r="Z108" s="178"/>
      <c r="AA108" s="112"/>
      <c r="AB108" s="184"/>
      <c r="AC108" s="178"/>
      <c r="AD108" s="112"/>
      <c r="AE108" s="184"/>
      <c r="AF108" s="178"/>
      <c r="AG108" s="2"/>
      <c r="AH108" s="96"/>
    </row>
    <row r="109" spans="1:34" ht="107.25" customHeight="1" thickBot="1" x14ac:dyDescent="0.35">
      <c r="A109" s="59"/>
      <c r="B109" s="247" t="s">
        <v>123</v>
      </c>
      <c r="C109" s="8"/>
      <c r="D109" s="7">
        <v>2021</v>
      </c>
      <c r="E109" s="7"/>
      <c r="F109" s="12"/>
      <c r="G109" s="7"/>
      <c r="H109" s="137"/>
      <c r="I109" s="125">
        <v>4955</v>
      </c>
      <c r="J109" s="126"/>
      <c r="K109" s="45"/>
      <c r="L109" s="127"/>
      <c r="M109" s="183"/>
      <c r="N109" s="177"/>
      <c r="O109" s="129"/>
      <c r="P109" s="183"/>
      <c r="Q109" s="188">
        <f>Q110+Q111</f>
        <v>0</v>
      </c>
      <c r="R109" s="188">
        <f t="shared" ref="R109:S109" si="126">R110+R111</f>
        <v>4955</v>
      </c>
      <c r="S109" s="250">
        <f t="shared" si="126"/>
        <v>4955</v>
      </c>
      <c r="T109" s="192"/>
      <c r="U109" s="131"/>
      <c r="V109" s="207"/>
      <c r="W109" s="202"/>
      <c r="X109" s="202"/>
      <c r="Y109" s="220"/>
      <c r="Z109" s="178"/>
      <c r="AA109" s="178"/>
      <c r="AB109" s="184"/>
      <c r="AC109" s="178"/>
      <c r="AD109" s="112"/>
      <c r="AE109" s="184"/>
      <c r="AF109" s="178"/>
      <c r="AG109" s="2"/>
      <c r="AH109" s="96"/>
    </row>
    <row r="110" spans="1:34" ht="21" customHeight="1" x14ac:dyDescent="0.3">
      <c r="A110" s="59"/>
      <c r="B110" s="26" t="s">
        <v>22</v>
      </c>
      <c r="C110" s="27"/>
      <c r="D110" s="28"/>
      <c r="E110" s="28"/>
      <c r="F110" s="34"/>
      <c r="G110" s="28"/>
      <c r="H110" s="138"/>
      <c r="I110" s="272"/>
      <c r="J110" s="273"/>
      <c r="K110" s="274"/>
      <c r="L110" s="275"/>
      <c r="M110" s="276"/>
      <c r="N110" s="277"/>
      <c r="O110" s="278"/>
      <c r="P110" s="276"/>
      <c r="Q110" s="279"/>
      <c r="R110" s="278"/>
      <c r="S110" s="276"/>
      <c r="T110" s="280"/>
      <c r="U110" s="281"/>
      <c r="V110" s="282"/>
      <c r="W110" s="283"/>
      <c r="X110" s="283"/>
      <c r="Y110" s="284"/>
      <c r="Z110" s="198"/>
      <c r="AA110" s="198"/>
      <c r="AB110" s="216"/>
      <c r="AC110" s="198"/>
      <c r="AD110" s="113"/>
      <c r="AE110" s="216"/>
      <c r="AF110" s="198"/>
      <c r="AG110" s="232"/>
      <c r="AH110" s="235"/>
    </row>
    <row r="111" spans="1:34" ht="21" customHeight="1" x14ac:dyDescent="0.3">
      <c r="A111" s="59"/>
      <c r="B111" s="6" t="s">
        <v>23</v>
      </c>
      <c r="C111" s="8"/>
      <c r="D111" s="7"/>
      <c r="E111" s="7"/>
      <c r="F111" s="12"/>
      <c r="G111" s="7"/>
      <c r="H111" s="137"/>
      <c r="I111" s="125"/>
      <c r="J111" s="126"/>
      <c r="K111" s="45"/>
      <c r="L111" s="127"/>
      <c r="M111" s="183"/>
      <c r="N111" s="177"/>
      <c r="O111" s="129"/>
      <c r="P111" s="183"/>
      <c r="Q111" s="188">
        <f>Q112+Q113</f>
        <v>0</v>
      </c>
      <c r="R111" s="188">
        <f t="shared" ref="R111:S111" si="127">R112+R113</f>
        <v>4955</v>
      </c>
      <c r="S111" s="250">
        <f t="shared" si="127"/>
        <v>4955</v>
      </c>
      <c r="T111" s="192"/>
      <c r="U111" s="131"/>
      <c r="V111" s="207"/>
      <c r="W111" s="202"/>
      <c r="X111" s="202"/>
      <c r="Y111" s="220"/>
      <c r="Z111" s="178"/>
      <c r="AA111" s="178"/>
      <c r="AB111" s="184"/>
      <c r="AC111" s="178"/>
      <c r="AD111" s="112"/>
      <c r="AE111" s="184"/>
      <c r="AF111" s="178"/>
      <c r="AG111" s="2"/>
      <c r="AH111" s="96"/>
    </row>
    <row r="112" spans="1:34" ht="21" customHeight="1" x14ac:dyDescent="0.3">
      <c r="A112" s="59"/>
      <c r="B112" s="6" t="s">
        <v>35</v>
      </c>
      <c r="C112" s="8"/>
      <c r="D112" s="7"/>
      <c r="E112" s="7"/>
      <c r="F112" s="12"/>
      <c r="G112" s="7"/>
      <c r="H112" s="137"/>
      <c r="I112" s="125"/>
      <c r="J112" s="126"/>
      <c r="K112" s="45"/>
      <c r="L112" s="127"/>
      <c r="M112" s="183"/>
      <c r="N112" s="177"/>
      <c r="O112" s="129"/>
      <c r="P112" s="183"/>
      <c r="Q112" s="188"/>
      <c r="R112" s="128">
        <v>715</v>
      </c>
      <c r="S112" s="250">
        <f>Q112+R112</f>
        <v>715</v>
      </c>
      <c r="T112" s="192"/>
      <c r="U112" s="131"/>
      <c r="V112" s="207"/>
      <c r="W112" s="202"/>
      <c r="X112" s="202"/>
      <c r="Y112" s="220"/>
      <c r="Z112" s="178"/>
      <c r="AA112" s="178"/>
      <c r="AB112" s="184"/>
      <c r="AC112" s="178"/>
      <c r="AD112" s="112"/>
      <c r="AE112" s="184"/>
      <c r="AF112" s="178"/>
      <c r="AG112" s="2"/>
      <c r="AH112" s="96"/>
    </row>
    <row r="113" spans="1:35" ht="21" customHeight="1" x14ac:dyDescent="0.3">
      <c r="A113" s="59"/>
      <c r="B113" s="6" t="s">
        <v>44</v>
      </c>
      <c r="C113" s="8"/>
      <c r="D113" s="7"/>
      <c r="E113" s="7"/>
      <c r="F113" s="12"/>
      <c r="G113" s="7"/>
      <c r="H113" s="137"/>
      <c r="I113" s="125"/>
      <c r="J113" s="126"/>
      <c r="K113" s="45"/>
      <c r="L113" s="127"/>
      <c r="M113" s="183"/>
      <c r="N113" s="177"/>
      <c r="O113" s="129"/>
      <c r="P113" s="183"/>
      <c r="Q113" s="188"/>
      <c r="R113" s="128">
        <v>4240</v>
      </c>
      <c r="S113" s="250">
        <f>Q113+R113</f>
        <v>4240</v>
      </c>
      <c r="T113" s="192"/>
      <c r="U113" s="131"/>
      <c r="V113" s="207"/>
      <c r="W113" s="202"/>
      <c r="X113" s="202"/>
      <c r="Y113" s="220"/>
      <c r="Z113" s="178"/>
      <c r="AA113" s="178"/>
      <c r="AB113" s="184"/>
      <c r="AC113" s="178"/>
      <c r="AD113" s="112"/>
      <c r="AE113" s="184"/>
      <c r="AF113" s="178"/>
      <c r="AG113" s="2"/>
      <c r="AH113" s="96"/>
    </row>
    <row r="114" spans="1:35" ht="108.75" customHeight="1" thickBot="1" x14ac:dyDescent="0.35">
      <c r="A114" s="59"/>
      <c r="B114" s="248" t="s">
        <v>124</v>
      </c>
      <c r="C114" s="8"/>
      <c r="D114" s="7">
        <v>2021</v>
      </c>
      <c r="E114" s="7"/>
      <c r="F114" s="12"/>
      <c r="G114" s="7"/>
      <c r="H114" s="137"/>
      <c r="I114" s="125">
        <v>4985</v>
      </c>
      <c r="J114" s="126"/>
      <c r="K114" s="45"/>
      <c r="L114" s="127"/>
      <c r="M114" s="183"/>
      <c r="N114" s="177"/>
      <c r="O114" s="129"/>
      <c r="P114" s="183"/>
      <c r="Q114" s="188">
        <f>Q115+Q116</f>
        <v>0</v>
      </c>
      <c r="R114" s="188">
        <f t="shared" ref="R114:S114" si="128">R115+R116</f>
        <v>4985</v>
      </c>
      <c r="S114" s="250">
        <f t="shared" si="128"/>
        <v>4985</v>
      </c>
      <c r="T114" s="192"/>
      <c r="U114" s="131"/>
      <c r="V114" s="207"/>
      <c r="W114" s="202"/>
      <c r="X114" s="202"/>
      <c r="Y114" s="220"/>
      <c r="Z114" s="178"/>
      <c r="AA114" s="178"/>
      <c r="AB114" s="184"/>
      <c r="AC114" s="178"/>
      <c r="AD114" s="112"/>
      <c r="AE114" s="184"/>
      <c r="AF114" s="178"/>
      <c r="AG114" s="2"/>
      <c r="AH114" s="96"/>
    </row>
    <row r="115" spans="1:35" ht="21" customHeight="1" x14ac:dyDescent="0.3">
      <c r="A115" s="59"/>
      <c r="B115" s="26" t="s">
        <v>22</v>
      </c>
      <c r="C115" s="27"/>
      <c r="D115" s="28"/>
      <c r="E115" s="28"/>
      <c r="F115" s="34"/>
      <c r="G115" s="28"/>
      <c r="H115" s="138"/>
      <c r="I115" s="272"/>
      <c r="J115" s="273"/>
      <c r="K115" s="274"/>
      <c r="L115" s="275"/>
      <c r="M115" s="276"/>
      <c r="N115" s="277"/>
      <c r="O115" s="278"/>
      <c r="P115" s="276"/>
      <c r="Q115" s="279"/>
      <c r="R115" s="278"/>
      <c r="S115" s="276"/>
      <c r="T115" s="280"/>
      <c r="U115" s="281"/>
      <c r="V115" s="282"/>
      <c r="W115" s="283"/>
      <c r="X115" s="283"/>
      <c r="Y115" s="284"/>
      <c r="Z115" s="198"/>
      <c r="AA115" s="198"/>
      <c r="AB115" s="216"/>
      <c r="AC115" s="198"/>
      <c r="AD115" s="113"/>
      <c r="AE115" s="216"/>
      <c r="AF115" s="198"/>
      <c r="AG115" s="232"/>
      <c r="AH115" s="235"/>
    </row>
    <row r="116" spans="1:35" ht="21" customHeight="1" x14ac:dyDescent="0.3">
      <c r="A116" s="59"/>
      <c r="B116" s="6" t="s">
        <v>23</v>
      </c>
      <c r="C116" s="8"/>
      <c r="D116" s="7"/>
      <c r="E116" s="7"/>
      <c r="F116" s="12"/>
      <c r="G116" s="7"/>
      <c r="H116" s="137"/>
      <c r="I116" s="125"/>
      <c r="J116" s="126"/>
      <c r="K116" s="45"/>
      <c r="L116" s="127"/>
      <c r="M116" s="183"/>
      <c r="N116" s="177"/>
      <c r="O116" s="129"/>
      <c r="P116" s="183"/>
      <c r="Q116" s="188">
        <f>Q117+Q118</f>
        <v>0</v>
      </c>
      <c r="R116" s="188">
        <f t="shared" ref="R116:S116" si="129">R117+R118</f>
        <v>4985</v>
      </c>
      <c r="S116" s="250">
        <f t="shared" si="129"/>
        <v>4985</v>
      </c>
      <c r="T116" s="192"/>
      <c r="U116" s="131"/>
      <c r="V116" s="207"/>
      <c r="W116" s="202"/>
      <c r="X116" s="202"/>
      <c r="Y116" s="220"/>
      <c r="Z116" s="178"/>
      <c r="AA116" s="178"/>
      <c r="AB116" s="184"/>
      <c r="AC116" s="178"/>
      <c r="AD116" s="112"/>
      <c r="AE116" s="184"/>
      <c r="AF116" s="178"/>
      <c r="AG116" s="2"/>
      <c r="AH116" s="96"/>
    </row>
    <row r="117" spans="1:35" ht="21" customHeight="1" x14ac:dyDescent="0.3">
      <c r="A117" s="59"/>
      <c r="B117" s="6" t="s">
        <v>35</v>
      </c>
      <c r="C117" s="8"/>
      <c r="D117" s="7"/>
      <c r="E117" s="7"/>
      <c r="F117" s="12"/>
      <c r="G117" s="7"/>
      <c r="H117" s="137"/>
      <c r="I117" s="125"/>
      <c r="J117" s="126"/>
      <c r="K117" s="45"/>
      <c r="L117" s="127"/>
      <c r="M117" s="183"/>
      <c r="N117" s="177"/>
      <c r="O117" s="129"/>
      <c r="P117" s="183"/>
      <c r="Q117" s="188"/>
      <c r="R117" s="128">
        <v>725</v>
      </c>
      <c r="S117" s="250">
        <f>Q117+R117</f>
        <v>725</v>
      </c>
      <c r="T117" s="192"/>
      <c r="U117" s="131"/>
      <c r="V117" s="207"/>
      <c r="W117" s="202"/>
      <c r="X117" s="202"/>
      <c r="Y117" s="220"/>
      <c r="Z117" s="178"/>
      <c r="AA117" s="178"/>
      <c r="AB117" s="184"/>
      <c r="AC117" s="178"/>
      <c r="AD117" s="112"/>
      <c r="AE117" s="184"/>
      <c r="AF117" s="178"/>
      <c r="AG117" s="2"/>
      <c r="AH117" s="96"/>
    </row>
    <row r="118" spans="1:35" ht="21" customHeight="1" x14ac:dyDescent="0.3">
      <c r="A118" s="59"/>
      <c r="B118" s="6" t="s">
        <v>44</v>
      </c>
      <c r="C118" s="8"/>
      <c r="D118" s="7"/>
      <c r="E118" s="7"/>
      <c r="F118" s="12"/>
      <c r="G118" s="7"/>
      <c r="H118" s="137"/>
      <c r="I118" s="125"/>
      <c r="J118" s="126"/>
      <c r="K118" s="45"/>
      <c r="L118" s="127"/>
      <c r="M118" s="183"/>
      <c r="N118" s="177"/>
      <c r="O118" s="129"/>
      <c r="P118" s="183"/>
      <c r="Q118" s="188"/>
      <c r="R118" s="128">
        <v>4260</v>
      </c>
      <c r="S118" s="250">
        <f>Q118+R118</f>
        <v>4260</v>
      </c>
      <c r="T118" s="192"/>
      <c r="U118" s="131"/>
      <c r="V118" s="207"/>
      <c r="W118" s="202"/>
      <c r="X118" s="202"/>
      <c r="Y118" s="220"/>
      <c r="Z118" s="178"/>
      <c r="AA118" s="178"/>
      <c r="AB118" s="184"/>
      <c r="AC118" s="178"/>
      <c r="AD118" s="112"/>
      <c r="AE118" s="184"/>
      <c r="AF118" s="178"/>
      <c r="AG118" s="2"/>
      <c r="AH118" s="96"/>
    </row>
    <row r="119" spans="1:35" ht="90.75" customHeight="1" x14ac:dyDescent="0.3">
      <c r="A119" s="59"/>
      <c r="B119" s="249" t="s">
        <v>125</v>
      </c>
      <c r="C119" s="8"/>
      <c r="D119" s="7">
        <v>2021</v>
      </c>
      <c r="E119" s="7"/>
      <c r="F119" s="12"/>
      <c r="G119" s="7"/>
      <c r="H119" s="137"/>
      <c r="I119" s="125">
        <v>4990</v>
      </c>
      <c r="J119" s="126"/>
      <c r="K119" s="45"/>
      <c r="L119" s="127"/>
      <c r="M119" s="183"/>
      <c r="N119" s="177"/>
      <c r="O119" s="129"/>
      <c r="P119" s="183"/>
      <c r="Q119" s="188">
        <f>Q120+Q121</f>
        <v>0</v>
      </c>
      <c r="R119" s="188">
        <f t="shared" ref="R119:S119" si="130">R120+R121</f>
        <v>4990</v>
      </c>
      <c r="S119" s="250">
        <f t="shared" si="130"/>
        <v>4990</v>
      </c>
      <c r="T119" s="192"/>
      <c r="U119" s="131"/>
      <c r="V119" s="207"/>
      <c r="W119" s="202"/>
      <c r="X119" s="202"/>
      <c r="Y119" s="220"/>
      <c r="Z119" s="178"/>
      <c r="AA119" s="178"/>
      <c r="AB119" s="184"/>
      <c r="AC119" s="178"/>
      <c r="AD119" s="112"/>
      <c r="AE119" s="184"/>
      <c r="AF119" s="178"/>
      <c r="AG119" s="2"/>
      <c r="AH119" s="96"/>
    </row>
    <row r="120" spans="1:35" ht="21" customHeight="1" x14ac:dyDescent="0.3">
      <c r="A120" s="59"/>
      <c r="B120" s="26" t="s">
        <v>22</v>
      </c>
      <c r="C120" s="27"/>
      <c r="D120" s="28"/>
      <c r="E120" s="28"/>
      <c r="F120" s="34"/>
      <c r="G120" s="28"/>
      <c r="H120" s="138"/>
      <c r="I120" s="272"/>
      <c r="J120" s="273"/>
      <c r="K120" s="274"/>
      <c r="L120" s="275"/>
      <c r="M120" s="276"/>
      <c r="N120" s="277"/>
      <c r="O120" s="278"/>
      <c r="P120" s="276"/>
      <c r="Q120" s="279"/>
      <c r="R120" s="278"/>
      <c r="S120" s="276"/>
      <c r="T120" s="280"/>
      <c r="U120" s="281"/>
      <c r="V120" s="282"/>
      <c r="W120" s="283"/>
      <c r="X120" s="283"/>
      <c r="Y120" s="284"/>
      <c r="Z120" s="198"/>
      <c r="AA120" s="198"/>
      <c r="AB120" s="216"/>
      <c r="AC120" s="198"/>
      <c r="AD120" s="113"/>
      <c r="AE120" s="216"/>
      <c r="AF120" s="198"/>
      <c r="AG120" s="232"/>
      <c r="AH120" s="235"/>
    </row>
    <row r="121" spans="1:35" ht="21" customHeight="1" x14ac:dyDescent="0.3">
      <c r="A121" s="59"/>
      <c r="B121" s="6" t="s">
        <v>23</v>
      </c>
      <c r="C121" s="8"/>
      <c r="D121" s="7"/>
      <c r="E121" s="7"/>
      <c r="F121" s="12"/>
      <c r="G121" s="7"/>
      <c r="H121" s="137"/>
      <c r="I121" s="125"/>
      <c r="J121" s="126"/>
      <c r="K121" s="45"/>
      <c r="L121" s="127"/>
      <c r="M121" s="183"/>
      <c r="N121" s="177"/>
      <c r="O121" s="129"/>
      <c r="P121" s="183"/>
      <c r="Q121" s="188">
        <f>Q122+Q123</f>
        <v>0</v>
      </c>
      <c r="R121" s="188">
        <f t="shared" ref="R121:S121" si="131">R122+R123</f>
        <v>4990</v>
      </c>
      <c r="S121" s="250">
        <f t="shared" si="131"/>
        <v>4990</v>
      </c>
      <c r="T121" s="192"/>
      <c r="U121" s="131"/>
      <c r="V121" s="207"/>
      <c r="W121" s="202"/>
      <c r="X121" s="202"/>
      <c r="Y121" s="220"/>
      <c r="Z121" s="178"/>
      <c r="AA121" s="178"/>
      <c r="AB121" s="184"/>
      <c r="AC121" s="178"/>
      <c r="AD121" s="112"/>
      <c r="AE121" s="184"/>
      <c r="AF121" s="178"/>
      <c r="AG121" s="2"/>
      <c r="AH121" s="96"/>
    </row>
    <row r="122" spans="1:35" ht="21" customHeight="1" x14ac:dyDescent="0.3">
      <c r="A122" s="59"/>
      <c r="B122" s="6" t="s">
        <v>35</v>
      </c>
      <c r="C122" s="8"/>
      <c r="D122" s="7"/>
      <c r="E122" s="7"/>
      <c r="F122" s="12"/>
      <c r="G122" s="7"/>
      <c r="H122" s="137"/>
      <c r="I122" s="125"/>
      <c r="J122" s="126"/>
      <c r="K122" s="45"/>
      <c r="L122" s="127"/>
      <c r="M122" s="183"/>
      <c r="N122" s="177"/>
      <c r="O122" s="129"/>
      <c r="P122" s="183"/>
      <c r="Q122" s="188"/>
      <c r="R122" s="128">
        <v>740</v>
      </c>
      <c r="S122" s="250">
        <f>Q122+R122</f>
        <v>740</v>
      </c>
      <c r="T122" s="192"/>
      <c r="U122" s="131"/>
      <c r="V122" s="207"/>
      <c r="W122" s="202"/>
      <c r="X122" s="202"/>
      <c r="Y122" s="220"/>
      <c r="Z122" s="178"/>
      <c r="AA122" s="178"/>
      <c r="AB122" s="184"/>
      <c r="AC122" s="178"/>
      <c r="AD122" s="112"/>
      <c r="AE122" s="184"/>
      <c r="AF122" s="178"/>
      <c r="AG122" s="2"/>
      <c r="AH122" s="96"/>
    </row>
    <row r="123" spans="1:35" ht="21" customHeight="1" x14ac:dyDescent="0.3">
      <c r="A123" s="59"/>
      <c r="B123" s="6" t="s">
        <v>44</v>
      </c>
      <c r="C123" s="8"/>
      <c r="D123" s="7"/>
      <c r="E123" s="7"/>
      <c r="F123" s="12"/>
      <c r="G123" s="7"/>
      <c r="H123" s="137"/>
      <c r="I123" s="125"/>
      <c r="J123" s="126"/>
      <c r="K123" s="45"/>
      <c r="L123" s="127"/>
      <c r="M123" s="183"/>
      <c r="N123" s="177"/>
      <c r="O123" s="129"/>
      <c r="P123" s="183"/>
      <c r="Q123" s="188"/>
      <c r="R123" s="128">
        <v>4250</v>
      </c>
      <c r="S123" s="250">
        <f>Q123+R123</f>
        <v>4250</v>
      </c>
      <c r="T123" s="192"/>
      <c r="U123" s="131"/>
      <c r="V123" s="207"/>
      <c r="W123" s="202"/>
      <c r="X123" s="202"/>
      <c r="Y123" s="220"/>
      <c r="Z123" s="178"/>
      <c r="AA123" s="178"/>
      <c r="AB123" s="184"/>
      <c r="AC123" s="178"/>
      <c r="AD123" s="112"/>
      <c r="AE123" s="184"/>
      <c r="AF123" s="178"/>
      <c r="AG123" s="2"/>
      <c r="AH123" s="96"/>
    </row>
    <row r="124" spans="1:35" s="158" customFormat="1" ht="121.5" customHeight="1" x14ac:dyDescent="0.3">
      <c r="A124" s="343">
        <v>46</v>
      </c>
      <c r="B124" s="43" t="s">
        <v>80</v>
      </c>
      <c r="C124" s="46"/>
      <c r="D124" s="14">
        <v>2026</v>
      </c>
      <c r="E124" s="345">
        <v>6.62</v>
      </c>
      <c r="F124" s="243">
        <v>850</v>
      </c>
      <c r="G124" s="14">
        <v>12.55</v>
      </c>
      <c r="H124" s="140"/>
      <c r="I124" s="91">
        <v>4890055</v>
      </c>
      <c r="J124" s="243">
        <v>12</v>
      </c>
      <c r="K124" s="243">
        <v>550</v>
      </c>
      <c r="L124" s="48">
        <v>3715000</v>
      </c>
      <c r="M124" s="91">
        <v>0</v>
      </c>
      <c r="N124" s="84"/>
      <c r="O124" s="48"/>
      <c r="P124" s="91">
        <f>N124+O124</f>
        <v>0</v>
      </c>
      <c r="Q124" s="84"/>
      <c r="R124" s="48"/>
      <c r="S124" s="91">
        <f>Q124+R124</f>
        <v>0</v>
      </c>
      <c r="T124" s="190"/>
      <c r="U124" s="50"/>
      <c r="V124" s="204"/>
      <c r="W124" s="190">
        <f>W125+W126</f>
        <v>1200000</v>
      </c>
      <c r="X124" s="190">
        <f t="shared" ref="X124:Y124" si="132">X125+X126</f>
        <v>-1187168.3</v>
      </c>
      <c r="Y124" s="204">
        <f t="shared" si="132"/>
        <v>12831.7</v>
      </c>
      <c r="Z124" s="190">
        <f>Z125+Z126</f>
        <v>1315000</v>
      </c>
      <c r="AA124" s="190">
        <f t="shared" ref="AA124:AB124" si="133">AA125+AA126</f>
        <v>-1262858.2</v>
      </c>
      <c r="AB124" s="204">
        <f t="shared" si="133"/>
        <v>52141.8</v>
      </c>
      <c r="AC124" s="190">
        <f>AC125+AC126</f>
        <v>1200000</v>
      </c>
      <c r="AD124" s="190">
        <f t="shared" ref="AD124:AE124" si="134">AD125+AD126</f>
        <v>1000000</v>
      </c>
      <c r="AE124" s="204">
        <f t="shared" si="134"/>
        <v>2200000</v>
      </c>
      <c r="AF124" s="269">
        <f>AF125+AF126</f>
        <v>0</v>
      </c>
      <c r="AG124" s="269">
        <f t="shared" ref="AG124:AH124" si="135">AG125+AG126</f>
        <v>2625081.5</v>
      </c>
      <c r="AH124" s="288">
        <f t="shared" si="135"/>
        <v>2625081.5</v>
      </c>
      <c r="AI124" s="265">
        <f>I124-M124-P124-S124-V124-Y124-AB124-AE124-AH124</f>
        <v>0</v>
      </c>
    </row>
    <row r="125" spans="1:35" s="158" customFormat="1" ht="28.5" customHeight="1" x14ac:dyDescent="0.3">
      <c r="A125" s="157"/>
      <c r="B125" s="26" t="s">
        <v>22</v>
      </c>
      <c r="C125" s="33"/>
      <c r="D125" s="28"/>
      <c r="E125" s="266"/>
      <c r="F125" s="245"/>
      <c r="G125" s="28"/>
      <c r="H125" s="138"/>
      <c r="I125" s="92"/>
      <c r="J125" s="245"/>
      <c r="K125" s="245"/>
      <c r="L125" s="35"/>
      <c r="M125" s="92"/>
      <c r="N125" s="85"/>
      <c r="O125" s="35"/>
      <c r="P125" s="92"/>
      <c r="Q125" s="85"/>
      <c r="R125" s="35"/>
      <c r="S125" s="92"/>
      <c r="T125" s="189"/>
      <c r="U125" s="37"/>
      <c r="V125" s="203"/>
      <c r="W125" s="189">
        <f>W128</f>
        <v>1200000</v>
      </c>
      <c r="X125" s="189">
        <f t="shared" ref="X125:Y125" si="136">X128</f>
        <v>-1200000</v>
      </c>
      <c r="Y125" s="203">
        <f t="shared" si="136"/>
        <v>0</v>
      </c>
      <c r="Z125" s="189">
        <f>Z128</f>
        <v>1315000</v>
      </c>
      <c r="AA125" s="189">
        <f t="shared" ref="AA125:AB125" si="137">AA128</f>
        <v>-1315000</v>
      </c>
      <c r="AB125" s="203">
        <f t="shared" si="137"/>
        <v>0</v>
      </c>
      <c r="AC125" s="189">
        <f>AC128</f>
        <v>1200000</v>
      </c>
      <c r="AD125" s="189">
        <f t="shared" ref="AD125:AE125" si="138">AD128</f>
        <v>1000000</v>
      </c>
      <c r="AE125" s="203">
        <f t="shared" si="138"/>
        <v>2200000</v>
      </c>
      <c r="AF125" s="268">
        <f>AF128</f>
        <v>0</v>
      </c>
      <c r="AG125" s="268">
        <f t="shared" ref="AG125:AH125" si="139">AG128</f>
        <v>2625081.5</v>
      </c>
      <c r="AH125" s="285">
        <f t="shared" si="139"/>
        <v>2625081.5</v>
      </c>
    </row>
    <row r="126" spans="1:35" s="158" customFormat="1" ht="28.5" customHeight="1" x14ac:dyDescent="0.3">
      <c r="A126" s="157"/>
      <c r="B126" s="6" t="s">
        <v>23</v>
      </c>
      <c r="C126" s="46"/>
      <c r="D126" s="14"/>
      <c r="E126" s="244"/>
      <c r="F126" s="243"/>
      <c r="G126" s="14"/>
      <c r="H126" s="140"/>
      <c r="I126" s="91"/>
      <c r="J126" s="243"/>
      <c r="K126" s="243"/>
      <c r="L126" s="48"/>
      <c r="M126" s="91"/>
      <c r="N126" s="84"/>
      <c r="O126" s="48"/>
      <c r="P126" s="91"/>
      <c r="Q126" s="84"/>
      <c r="R126" s="48"/>
      <c r="S126" s="91"/>
      <c r="T126" s="190"/>
      <c r="U126" s="50"/>
      <c r="V126" s="204"/>
      <c r="W126" s="190">
        <f>W127</f>
        <v>0</v>
      </c>
      <c r="X126" s="190">
        <f t="shared" ref="X126:Y126" si="140">X127</f>
        <v>12831.7</v>
      </c>
      <c r="Y126" s="204">
        <f t="shared" si="140"/>
        <v>12831.7</v>
      </c>
      <c r="Z126" s="190">
        <f>Z127</f>
        <v>0</v>
      </c>
      <c r="AA126" s="190">
        <f t="shared" ref="AA126:AB126" si="141">AA127</f>
        <v>52141.8</v>
      </c>
      <c r="AB126" s="204">
        <f t="shared" si="141"/>
        <v>52141.8</v>
      </c>
      <c r="AC126" s="190"/>
      <c r="AD126" s="190"/>
      <c r="AE126" s="204"/>
      <c r="AF126" s="212"/>
      <c r="AG126" s="237"/>
      <c r="AH126" s="234"/>
    </row>
    <row r="127" spans="1:35" s="158" customFormat="1" ht="28.5" customHeight="1" x14ac:dyDescent="0.3">
      <c r="A127" s="157"/>
      <c r="B127" s="6" t="s">
        <v>35</v>
      </c>
      <c r="C127" s="46"/>
      <c r="D127" s="14"/>
      <c r="E127" s="244"/>
      <c r="F127" s="243"/>
      <c r="G127" s="14"/>
      <c r="H127" s="140"/>
      <c r="I127" s="91"/>
      <c r="J127" s="243"/>
      <c r="K127" s="243"/>
      <c r="L127" s="48"/>
      <c r="M127" s="91"/>
      <c r="N127" s="84"/>
      <c r="O127" s="48"/>
      <c r="P127" s="91"/>
      <c r="Q127" s="84"/>
      <c r="R127" s="48"/>
      <c r="S127" s="91"/>
      <c r="T127" s="190"/>
      <c r="U127" s="50"/>
      <c r="V127" s="204"/>
      <c r="W127" s="190"/>
      <c r="X127" s="50">
        <v>12831.7</v>
      </c>
      <c r="Y127" s="204">
        <f>W127+X127</f>
        <v>12831.7</v>
      </c>
      <c r="Z127" s="190"/>
      <c r="AA127" s="190">
        <f>51932.5+209.3</f>
        <v>52141.8</v>
      </c>
      <c r="AB127" s="204">
        <f>Z127+AA127</f>
        <v>52141.8</v>
      </c>
      <c r="AC127" s="190"/>
      <c r="AD127" s="190"/>
      <c r="AE127" s="204"/>
      <c r="AF127" s="212"/>
      <c r="AG127" s="237"/>
      <c r="AH127" s="234"/>
    </row>
    <row r="128" spans="1:35" s="158" customFormat="1" ht="28.5" customHeight="1" x14ac:dyDescent="0.3">
      <c r="A128" s="157"/>
      <c r="B128" s="6" t="s">
        <v>44</v>
      </c>
      <c r="C128" s="46"/>
      <c r="D128" s="14"/>
      <c r="E128" s="244"/>
      <c r="F128" s="243"/>
      <c r="G128" s="14"/>
      <c r="H128" s="140"/>
      <c r="I128" s="91"/>
      <c r="J128" s="243"/>
      <c r="K128" s="243"/>
      <c r="L128" s="48"/>
      <c r="M128" s="91"/>
      <c r="N128" s="84"/>
      <c r="O128" s="48"/>
      <c r="P128" s="91"/>
      <c r="Q128" s="84"/>
      <c r="R128" s="48"/>
      <c r="S128" s="91"/>
      <c r="T128" s="190"/>
      <c r="U128" s="50"/>
      <c r="V128" s="204"/>
      <c r="W128" s="190">
        <v>1200000</v>
      </c>
      <c r="X128" s="190">
        <v>-1200000</v>
      </c>
      <c r="Y128" s="204">
        <f>W128+X128</f>
        <v>0</v>
      </c>
      <c r="Z128" s="190">
        <v>1315000</v>
      </c>
      <c r="AA128" s="190">
        <v>-1315000</v>
      </c>
      <c r="AB128" s="204">
        <f>Z128+AA128</f>
        <v>0</v>
      </c>
      <c r="AC128" s="190">
        <v>1200000</v>
      </c>
      <c r="AD128" s="190">
        <v>1000000</v>
      </c>
      <c r="AE128" s="204">
        <f>AC128+AD128</f>
        <v>2200000</v>
      </c>
      <c r="AF128" s="212"/>
      <c r="AG128" s="237">
        <f>2450026.5+175055</f>
        <v>2625081.5</v>
      </c>
      <c r="AH128" s="267">
        <f>AF128+AG128</f>
        <v>2625081.5</v>
      </c>
    </row>
    <row r="129" spans="1:35" ht="63.75" customHeight="1" x14ac:dyDescent="0.3">
      <c r="A129" s="343">
        <v>47</v>
      </c>
      <c r="B129" s="43" t="s">
        <v>79</v>
      </c>
      <c r="C129" s="46"/>
      <c r="D129" s="14">
        <v>2026</v>
      </c>
      <c r="E129" s="167">
        <v>7.7450000000000001</v>
      </c>
      <c r="F129" s="243">
        <v>305</v>
      </c>
      <c r="G129" s="14">
        <v>8.0500000000000007</v>
      </c>
      <c r="H129" s="140"/>
      <c r="I129" s="91">
        <v>3486950</v>
      </c>
      <c r="J129" s="243">
        <v>1</v>
      </c>
      <c r="K129" s="243">
        <v>220</v>
      </c>
      <c r="L129" s="48">
        <v>1380000</v>
      </c>
      <c r="M129" s="91">
        <v>0</v>
      </c>
      <c r="N129" s="84"/>
      <c r="O129" s="48"/>
      <c r="P129" s="91">
        <f t="shared" ref="P129:P169" si="142">N129+O129</f>
        <v>0</v>
      </c>
      <c r="Q129" s="84"/>
      <c r="R129" s="48"/>
      <c r="S129" s="91">
        <f t="shared" ref="S129:S169" si="143">Q129+R129</f>
        <v>0</v>
      </c>
      <c r="T129" s="190"/>
      <c r="U129" s="50"/>
      <c r="V129" s="204"/>
      <c r="W129" s="190">
        <v>395000</v>
      </c>
      <c r="X129" s="50">
        <v>-395000</v>
      </c>
      <c r="Y129" s="204">
        <f>W129+X129</f>
        <v>0</v>
      </c>
      <c r="Z129" s="190">
        <f>Z130+Z131</f>
        <v>985000</v>
      </c>
      <c r="AA129" s="190">
        <f t="shared" ref="AA129:AB129" si="144">AA130+AA131</f>
        <v>-976591.2</v>
      </c>
      <c r="AB129" s="204">
        <f t="shared" si="144"/>
        <v>8408.7999999999993</v>
      </c>
      <c r="AC129" s="190">
        <f>AC130+AC131</f>
        <v>0</v>
      </c>
      <c r="AD129" s="190">
        <f t="shared" ref="AD129:AE129" si="145">AD130+AD131</f>
        <v>24312.3</v>
      </c>
      <c r="AE129" s="204">
        <f t="shared" si="145"/>
        <v>24312.3</v>
      </c>
      <c r="AF129" s="269">
        <f>AF130+AF131</f>
        <v>0</v>
      </c>
      <c r="AG129" s="269">
        <f t="shared" ref="AG129:AH129" si="146">AG130+AG131</f>
        <v>3454228.9</v>
      </c>
      <c r="AH129" s="288">
        <f t="shared" si="146"/>
        <v>3454228.9</v>
      </c>
      <c r="AI129" s="40">
        <f>I129-M129-P129-S129-V129-Y129-AB129-AE129-AH129</f>
        <v>0</v>
      </c>
    </row>
    <row r="130" spans="1:35" ht="24.75" customHeight="1" x14ac:dyDescent="0.3">
      <c r="A130" s="59"/>
      <c r="B130" s="26" t="s">
        <v>22</v>
      </c>
      <c r="C130" s="33"/>
      <c r="D130" s="28"/>
      <c r="E130" s="19"/>
      <c r="F130" s="245"/>
      <c r="G130" s="28"/>
      <c r="H130" s="138"/>
      <c r="I130" s="92"/>
      <c r="J130" s="245"/>
      <c r="K130" s="245"/>
      <c r="L130" s="35"/>
      <c r="M130" s="92"/>
      <c r="N130" s="85"/>
      <c r="O130" s="35"/>
      <c r="P130" s="92"/>
      <c r="Q130" s="85"/>
      <c r="R130" s="35"/>
      <c r="S130" s="92"/>
      <c r="T130" s="189"/>
      <c r="U130" s="37"/>
      <c r="V130" s="203"/>
      <c r="W130" s="189"/>
      <c r="X130" s="37"/>
      <c r="Y130" s="203"/>
      <c r="Z130" s="189">
        <f>Z133</f>
        <v>985000</v>
      </c>
      <c r="AA130" s="189">
        <f t="shared" ref="AA130:AB130" si="147">AA133</f>
        <v>-985000</v>
      </c>
      <c r="AB130" s="203">
        <f t="shared" si="147"/>
        <v>0</v>
      </c>
      <c r="AC130" s="268">
        <f>AC133</f>
        <v>0</v>
      </c>
      <c r="AD130" s="268">
        <f t="shared" ref="AD130:AE130" si="148">AD133</f>
        <v>0</v>
      </c>
      <c r="AE130" s="285">
        <f t="shared" si="148"/>
        <v>0</v>
      </c>
      <c r="AF130" s="268">
        <f>AF133</f>
        <v>0</v>
      </c>
      <c r="AG130" s="268">
        <f t="shared" ref="AG130:AH130" si="149">AG133</f>
        <v>3454228.9</v>
      </c>
      <c r="AH130" s="285">
        <f t="shared" si="149"/>
        <v>3454228.9</v>
      </c>
    </row>
    <row r="131" spans="1:35" ht="24.75" customHeight="1" x14ac:dyDescent="0.3">
      <c r="A131" s="59"/>
      <c r="B131" s="6" t="s">
        <v>23</v>
      </c>
      <c r="C131" s="46"/>
      <c r="D131" s="14"/>
      <c r="E131" s="167"/>
      <c r="F131" s="243"/>
      <c r="G131" s="14"/>
      <c r="H131" s="140"/>
      <c r="I131" s="91"/>
      <c r="J131" s="243"/>
      <c r="K131" s="243"/>
      <c r="L131" s="48"/>
      <c r="M131" s="91"/>
      <c r="N131" s="84"/>
      <c r="O131" s="48"/>
      <c r="P131" s="91"/>
      <c r="Q131" s="84"/>
      <c r="R131" s="48"/>
      <c r="S131" s="91"/>
      <c r="T131" s="190"/>
      <c r="U131" s="50"/>
      <c r="V131" s="204"/>
      <c r="W131" s="190"/>
      <c r="X131" s="50"/>
      <c r="Y131" s="204"/>
      <c r="Z131" s="190"/>
      <c r="AA131" s="50">
        <f>AA132</f>
        <v>8408.7999999999993</v>
      </c>
      <c r="AB131" s="204">
        <f>AB132</f>
        <v>8408.7999999999993</v>
      </c>
      <c r="AC131" s="212">
        <f>AC132</f>
        <v>0</v>
      </c>
      <c r="AD131" s="212">
        <f t="shared" ref="AD131:AE131" si="150">AD132</f>
        <v>24312.3</v>
      </c>
      <c r="AE131" s="224">
        <f t="shared" si="150"/>
        <v>24312.3</v>
      </c>
      <c r="AF131" s="212"/>
      <c r="AG131" s="76"/>
      <c r="AH131" s="96"/>
    </row>
    <row r="132" spans="1:35" ht="24.75" customHeight="1" x14ac:dyDescent="0.3">
      <c r="A132" s="59"/>
      <c r="B132" s="6" t="s">
        <v>35</v>
      </c>
      <c r="C132" s="46"/>
      <c r="D132" s="14"/>
      <c r="E132" s="167"/>
      <c r="F132" s="243"/>
      <c r="G132" s="14"/>
      <c r="H132" s="140"/>
      <c r="I132" s="91"/>
      <c r="J132" s="243"/>
      <c r="K132" s="243"/>
      <c r="L132" s="48"/>
      <c r="M132" s="91"/>
      <c r="N132" s="84"/>
      <c r="O132" s="48"/>
      <c r="P132" s="91"/>
      <c r="Q132" s="84"/>
      <c r="R132" s="48"/>
      <c r="S132" s="91"/>
      <c r="T132" s="190"/>
      <c r="U132" s="50"/>
      <c r="V132" s="204"/>
      <c r="W132" s="190"/>
      <c r="X132" s="50"/>
      <c r="Y132" s="204"/>
      <c r="Z132" s="190"/>
      <c r="AA132" s="50">
        <v>8408.7999999999993</v>
      </c>
      <c r="AB132" s="204">
        <f>Z132+AA132</f>
        <v>8408.7999999999993</v>
      </c>
      <c r="AC132" s="212"/>
      <c r="AD132" s="169">
        <f>24103+209.3</f>
        <v>24312.3</v>
      </c>
      <c r="AE132" s="224">
        <f>AC132+AD132</f>
        <v>24312.3</v>
      </c>
      <c r="AF132" s="212"/>
      <c r="AG132" s="76"/>
      <c r="AH132" s="96"/>
    </row>
    <row r="133" spans="1:35" ht="24.75" customHeight="1" x14ac:dyDescent="0.3">
      <c r="A133" s="59"/>
      <c r="B133" s="6" t="s">
        <v>44</v>
      </c>
      <c r="C133" s="46"/>
      <c r="D133" s="14"/>
      <c r="E133" s="167"/>
      <c r="F133" s="243"/>
      <c r="G133" s="14"/>
      <c r="H133" s="140"/>
      <c r="I133" s="91"/>
      <c r="J133" s="243"/>
      <c r="K133" s="243"/>
      <c r="L133" s="48"/>
      <c r="M133" s="91"/>
      <c r="N133" s="84"/>
      <c r="O133" s="48"/>
      <c r="P133" s="91"/>
      <c r="Q133" s="84"/>
      <c r="R133" s="48"/>
      <c r="S133" s="91"/>
      <c r="T133" s="190"/>
      <c r="U133" s="50"/>
      <c r="V133" s="204"/>
      <c r="W133" s="190"/>
      <c r="X133" s="50"/>
      <c r="Y133" s="204"/>
      <c r="Z133" s="190">
        <v>985000</v>
      </c>
      <c r="AA133" s="50">
        <v>-985000</v>
      </c>
      <c r="AB133" s="204">
        <f>Z133+AA133</f>
        <v>0</v>
      </c>
      <c r="AC133" s="212"/>
      <c r="AD133" s="169"/>
      <c r="AE133" s="224">
        <f>AC133+AD133</f>
        <v>0</v>
      </c>
      <c r="AF133" s="212"/>
      <c r="AG133" s="76">
        <f>1347278.9+2106950</f>
        <v>3454228.9</v>
      </c>
      <c r="AH133" s="261">
        <f>AF133+AG133</f>
        <v>3454228.9</v>
      </c>
    </row>
    <row r="134" spans="1:35" ht="156" customHeight="1" x14ac:dyDescent="0.3">
      <c r="A134" s="344"/>
      <c r="B134" s="132" t="s">
        <v>92</v>
      </c>
      <c r="C134" s="46"/>
      <c r="D134" s="14">
        <v>2026</v>
      </c>
      <c r="E134" s="167">
        <v>49</v>
      </c>
      <c r="F134" s="243"/>
      <c r="G134" s="14"/>
      <c r="H134" s="140"/>
      <c r="I134" s="91">
        <v>4465120</v>
      </c>
      <c r="J134" s="243"/>
      <c r="K134" s="243"/>
      <c r="L134" s="48"/>
      <c r="M134" s="91"/>
      <c r="N134" s="84"/>
      <c r="O134" s="48"/>
      <c r="P134" s="91"/>
      <c r="Q134" s="84"/>
      <c r="R134" s="48"/>
      <c r="S134" s="91"/>
      <c r="T134" s="190"/>
      <c r="U134" s="50"/>
      <c r="V134" s="204"/>
      <c r="W134" s="190">
        <f>W135+W136</f>
        <v>0</v>
      </c>
      <c r="X134" s="190">
        <f t="shared" ref="X134:Y134" si="151">X135+X136</f>
        <v>23416</v>
      </c>
      <c r="Y134" s="204">
        <f t="shared" si="151"/>
        <v>23416</v>
      </c>
      <c r="Z134" s="190">
        <f>Z135+Z136</f>
        <v>0</v>
      </c>
      <c r="AA134" s="190">
        <f t="shared" ref="AA134:AB134" si="152">AA135+AA136</f>
        <v>35509.9</v>
      </c>
      <c r="AB134" s="204">
        <f t="shared" si="152"/>
        <v>35509.9</v>
      </c>
      <c r="AC134" s="190">
        <f>AC135+AC136</f>
        <v>0</v>
      </c>
      <c r="AD134" s="190">
        <f t="shared" ref="AD134:AE134" si="153">AD135+AD136</f>
        <v>2200000</v>
      </c>
      <c r="AE134" s="312">
        <f t="shared" si="153"/>
        <v>2200000</v>
      </c>
      <c r="AF134" s="190">
        <f>AF135+AF136</f>
        <v>0</v>
      </c>
      <c r="AG134" s="190">
        <f t="shared" ref="AG134:AH134" si="154">AG135+AG136</f>
        <v>2206194.1</v>
      </c>
      <c r="AH134" s="312">
        <f t="shared" si="154"/>
        <v>2206194.1</v>
      </c>
      <c r="AI134" s="40">
        <f>I134-Y134-AB134-AE134-AH134</f>
        <v>0</v>
      </c>
    </row>
    <row r="135" spans="1:35" ht="24.75" customHeight="1" x14ac:dyDescent="0.3">
      <c r="A135" s="59"/>
      <c r="B135" s="26" t="s">
        <v>22</v>
      </c>
      <c r="C135" s="33"/>
      <c r="D135" s="28"/>
      <c r="E135" s="19"/>
      <c r="F135" s="245"/>
      <c r="G135" s="28"/>
      <c r="H135" s="138"/>
      <c r="I135" s="92"/>
      <c r="J135" s="245"/>
      <c r="K135" s="245"/>
      <c r="L135" s="35"/>
      <c r="M135" s="92"/>
      <c r="N135" s="85"/>
      <c r="O135" s="35"/>
      <c r="P135" s="92"/>
      <c r="Q135" s="85"/>
      <c r="R135" s="35"/>
      <c r="S135" s="92"/>
      <c r="T135" s="189"/>
      <c r="U135" s="37"/>
      <c r="V135" s="203"/>
      <c r="W135" s="189"/>
      <c r="X135" s="37"/>
      <c r="Y135" s="203"/>
      <c r="Z135" s="189"/>
      <c r="AA135" s="37"/>
      <c r="AB135" s="203"/>
      <c r="AC135" s="198">
        <f>AC138</f>
        <v>0</v>
      </c>
      <c r="AD135" s="198">
        <f t="shared" ref="AD135:AE135" si="155">AD138</f>
        <v>2200000</v>
      </c>
      <c r="AE135" s="314">
        <f t="shared" si="155"/>
        <v>2200000</v>
      </c>
      <c r="AF135" s="198">
        <f>AF138</f>
        <v>0</v>
      </c>
      <c r="AG135" s="198">
        <f t="shared" ref="AG135:AH135" si="156">AG138</f>
        <v>2206194.1</v>
      </c>
      <c r="AH135" s="314">
        <f t="shared" si="156"/>
        <v>2206194.1</v>
      </c>
    </row>
    <row r="136" spans="1:35" ht="24.75" customHeight="1" x14ac:dyDescent="0.3">
      <c r="A136" s="59"/>
      <c r="B136" s="6" t="s">
        <v>23</v>
      </c>
      <c r="C136" s="46"/>
      <c r="D136" s="14"/>
      <c r="E136" s="167"/>
      <c r="F136" s="243"/>
      <c r="G136" s="14"/>
      <c r="H136" s="140"/>
      <c r="I136" s="91"/>
      <c r="J136" s="243"/>
      <c r="K136" s="243"/>
      <c r="L136" s="48"/>
      <c r="M136" s="91"/>
      <c r="N136" s="84"/>
      <c r="O136" s="48"/>
      <c r="P136" s="91"/>
      <c r="Q136" s="84"/>
      <c r="R136" s="48"/>
      <c r="S136" s="91"/>
      <c r="T136" s="190"/>
      <c r="U136" s="50"/>
      <c r="V136" s="204"/>
      <c r="W136" s="190">
        <f>W137</f>
        <v>0</v>
      </c>
      <c r="X136" s="190">
        <f t="shared" ref="X136:Y136" si="157">X137</f>
        <v>23416</v>
      </c>
      <c r="Y136" s="204">
        <f t="shared" si="157"/>
        <v>23416</v>
      </c>
      <c r="Z136" s="190">
        <f>Z137</f>
        <v>0</v>
      </c>
      <c r="AA136" s="190">
        <f t="shared" ref="AA136:AB136" si="158">AA137</f>
        <v>35509.9</v>
      </c>
      <c r="AB136" s="204">
        <f t="shared" si="158"/>
        <v>35509.9</v>
      </c>
      <c r="AC136" s="212"/>
      <c r="AD136" s="169"/>
      <c r="AE136" s="224"/>
      <c r="AF136" s="212"/>
      <c r="AG136" s="76"/>
      <c r="AH136" s="96"/>
    </row>
    <row r="137" spans="1:35" ht="24.75" customHeight="1" x14ac:dyDescent="0.3">
      <c r="A137" s="59"/>
      <c r="B137" s="6" t="s">
        <v>35</v>
      </c>
      <c r="C137" s="46"/>
      <c r="D137" s="14"/>
      <c r="E137" s="167"/>
      <c r="F137" s="243"/>
      <c r="G137" s="14"/>
      <c r="H137" s="140"/>
      <c r="I137" s="91"/>
      <c r="J137" s="243"/>
      <c r="K137" s="243"/>
      <c r="L137" s="48"/>
      <c r="M137" s="91"/>
      <c r="N137" s="84"/>
      <c r="O137" s="48"/>
      <c r="P137" s="91"/>
      <c r="Q137" s="84"/>
      <c r="R137" s="48"/>
      <c r="S137" s="91"/>
      <c r="T137" s="190"/>
      <c r="U137" s="50"/>
      <c r="V137" s="204"/>
      <c r="W137" s="190"/>
      <c r="X137" s="50">
        <v>23416</v>
      </c>
      <c r="Y137" s="204">
        <f>W137+X137</f>
        <v>23416</v>
      </c>
      <c r="Z137" s="190"/>
      <c r="AA137" s="50">
        <f>35308.3+201.6</f>
        <v>35509.9</v>
      </c>
      <c r="AB137" s="204">
        <f>Z137+AA137</f>
        <v>35509.9</v>
      </c>
      <c r="AC137" s="212"/>
      <c r="AD137" s="169"/>
      <c r="AE137" s="224"/>
      <c r="AF137" s="212"/>
      <c r="AG137" s="76"/>
      <c r="AH137" s="96"/>
    </row>
    <row r="138" spans="1:35" ht="24.75" customHeight="1" x14ac:dyDescent="0.3">
      <c r="A138" s="59"/>
      <c r="B138" s="6" t="s">
        <v>44</v>
      </c>
      <c r="C138" s="46"/>
      <c r="D138" s="14"/>
      <c r="E138" s="167"/>
      <c r="F138" s="243"/>
      <c r="G138" s="14"/>
      <c r="H138" s="140"/>
      <c r="I138" s="91"/>
      <c r="J138" s="243"/>
      <c r="K138" s="243"/>
      <c r="L138" s="48"/>
      <c r="M138" s="91"/>
      <c r="N138" s="84"/>
      <c r="O138" s="48"/>
      <c r="P138" s="91"/>
      <c r="Q138" s="84"/>
      <c r="R138" s="48"/>
      <c r="S138" s="91"/>
      <c r="T138" s="190"/>
      <c r="U138" s="50"/>
      <c r="V138" s="204"/>
      <c r="W138" s="190"/>
      <c r="X138" s="50"/>
      <c r="Y138" s="204"/>
      <c r="Z138" s="190"/>
      <c r="AA138" s="50"/>
      <c r="AB138" s="204"/>
      <c r="AC138" s="212"/>
      <c r="AD138" s="169">
        <v>2200000</v>
      </c>
      <c r="AE138" s="224">
        <f>AC138+AD138</f>
        <v>2200000</v>
      </c>
      <c r="AF138" s="212"/>
      <c r="AG138" s="302">
        <v>2206194.1</v>
      </c>
      <c r="AH138" s="261">
        <f>AF138+AG138</f>
        <v>2206194.1</v>
      </c>
    </row>
    <row r="139" spans="1:35" ht="64.5" customHeight="1" x14ac:dyDescent="0.3">
      <c r="A139" s="344"/>
      <c r="B139" s="43" t="s">
        <v>86</v>
      </c>
      <c r="C139" s="46"/>
      <c r="D139" s="14">
        <v>2026</v>
      </c>
      <c r="E139" s="167">
        <v>58.55</v>
      </c>
      <c r="F139" s="243"/>
      <c r="G139" s="14"/>
      <c r="H139" s="140"/>
      <c r="I139" s="91">
        <v>2902380</v>
      </c>
      <c r="J139" s="243"/>
      <c r="K139" s="243"/>
      <c r="L139" s="48"/>
      <c r="M139" s="91"/>
      <c r="N139" s="84"/>
      <c r="O139" s="48"/>
      <c r="P139" s="91"/>
      <c r="Q139" s="84"/>
      <c r="R139" s="48"/>
      <c r="S139" s="91"/>
      <c r="T139" s="190"/>
      <c r="U139" s="50"/>
      <c r="V139" s="204"/>
      <c r="W139" s="190">
        <f>W140+W141</f>
        <v>0</v>
      </c>
      <c r="X139" s="190">
        <f t="shared" ref="X139:Y139" si="159">X140+X141</f>
        <v>20916.5</v>
      </c>
      <c r="Y139" s="204">
        <f t="shared" si="159"/>
        <v>20916.5</v>
      </c>
      <c r="Z139" s="190">
        <f>Z140+Z141</f>
        <v>0</v>
      </c>
      <c r="AA139" s="190">
        <f t="shared" ref="AA139:AB139" si="160">AA140+AA141</f>
        <v>25555.199999999997</v>
      </c>
      <c r="AB139" s="204">
        <f t="shared" si="160"/>
        <v>25555.199999999997</v>
      </c>
      <c r="AC139" s="190">
        <f>AB139+Y139</f>
        <v>46471.7</v>
      </c>
      <c r="AD139" s="190">
        <f t="shared" ref="AD139:AE139" si="161">AD140+AD141</f>
        <v>1400000</v>
      </c>
      <c r="AE139" s="312">
        <f t="shared" si="161"/>
        <v>1400000</v>
      </c>
      <c r="AF139" s="190">
        <f>AF140+AF141</f>
        <v>0</v>
      </c>
      <c r="AG139" s="190">
        <f t="shared" ref="AG139:AH139" si="162">AG140+AG141</f>
        <v>1455908.3</v>
      </c>
      <c r="AH139" s="312">
        <f t="shared" si="162"/>
        <v>1455908.3</v>
      </c>
      <c r="AI139" s="40">
        <f>I139-Y139-AB139-AE139-AH139</f>
        <v>0</v>
      </c>
    </row>
    <row r="140" spans="1:35" ht="24.75" customHeight="1" x14ac:dyDescent="0.3">
      <c r="A140" s="59"/>
      <c r="B140" s="26" t="s">
        <v>22</v>
      </c>
      <c r="C140" s="33"/>
      <c r="D140" s="28"/>
      <c r="E140" s="19"/>
      <c r="F140" s="245"/>
      <c r="G140" s="28"/>
      <c r="H140" s="138"/>
      <c r="I140" s="92"/>
      <c r="J140" s="245"/>
      <c r="K140" s="245"/>
      <c r="L140" s="35"/>
      <c r="M140" s="92"/>
      <c r="N140" s="85"/>
      <c r="O140" s="35"/>
      <c r="P140" s="92"/>
      <c r="Q140" s="85"/>
      <c r="R140" s="35"/>
      <c r="S140" s="92"/>
      <c r="T140" s="189"/>
      <c r="U140" s="37"/>
      <c r="V140" s="203"/>
      <c r="W140" s="189"/>
      <c r="X140" s="189"/>
      <c r="Y140" s="203"/>
      <c r="Z140" s="189"/>
      <c r="AA140" s="189"/>
      <c r="AB140" s="203"/>
      <c r="AC140" s="198">
        <f>AC143</f>
        <v>0</v>
      </c>
      <c r="AD140" s="198">
        <f t="shared" ref="AD140:AE140" si="163">AD143</f>
        <v>1400000</v>
      </c>
      <c r="AE140" s="314">
        <f t="shared" si="163"/>
        <v>1400000</v>
      </c>
      <c r="AF140" s="198">
        <f>AF143</f>
        <v>0</v>
      </c>
      <c r="AG140" s="198">
        <f t="shared" ref="AG140:AH140" si="164">AG143</f>
        <v>1455908.3</v>
      </c>
      <c r="AH140" s="314">
        <f t="shared" si="164"/>
        <v>1455908.3</v>
      </c>
    </row>
    <row r="141" spans="1:35" ht="24.75" customHeight="1" x14ac:dyDescent="0.3">
      <c r="A141" s="59"/>
      <c r="B141" s="6" t="s">
        <v>23</v>
      </c>
      <c r="C141" s="46"/>
      <c r="D141" s="14"/>
      <c r="E141" s="167"/>
      <c r="F141" s="243"/>
      <c r="G141" s="14"/>
      <c r="H141" s="140"/>
      <c r="I141" s="91"/>
      <c r="J141" s="243"/>
      <c r="K141" s="243"/>
      <c r="L141" s="48"/>
      <c r="M141" s="91"/>
      <c r="N141" s="84"/>
      <c r="O141" s="48"/>
      <c r="P141" s="91"/>
      <c r="Q141" s="84"/>
      <c r="R141" s="48"/>
      <c r="S141" s="91"/>
      <c r="T141" s="190"/>
      <c r="U141" s="50"/>
      <c r="V141" s="204"/>
      <c r="W141" s="190">
        <f>W142</f>
        <v>0</v>
      </c>
      <c r="X141" s="190">
        <f t="shared" ref="X141:Y141" si="165">X142</f>
        <v>20916.5</v>
      </c>
      <c r="Y141" s="204">
        <f t="shared" si="165"/>
        <v>20916.5</v>
      </c>
      <c r="Z141" s="190">
        <f>Z142</f>
        <v>0</v>
      </c>
      <c r="AA141" s="190">
        <f t="shared" ref="AA141:AB141" si="166">AA142</f>
        <v>25555.199999999997</v>
      </c>
      <c r="AB141" s="204">
        <f t="shared" si="166"/>
        <v>25555.199999999997</v>
      </c>
      <c r="AC141" s="212"/>
      <c r="AD141" s="212"/>
      <c r="AE141" s="224"/>
      <c r="AF141" s="212"/>
      <c r="AG141" s="228"/>
      <c r="AH141" s="96"/>
    </row>
    <row r="142" spans="1:35" ht="24.75" customHeight="1" x14ac:dyDescent="0.3">
      <c r="A142" s="59"/>
      <c r="B142" s="6" t="s">
        <v>35</v>
      </c>
      <c r="C142" s="46"/>
      <c r="D142" s="14"/>
      <c r="E142" s="167"/>
      <c r="F142" s="243"/>
      <c r="G142" s="14"/>
      <c r="H142" s="140"/>
      <c r="I142" s="91"/>
      <c r="J142" s="243"/>
      <c r="K142" s="243"/>
      <c r="L142" s="48"/>
      <c r="M142" s="91"/>
      <c r="N142" s="84"/>
      <c r="O142" s="48"/>
      <c r="P142" s="91"/>
      <c r="Q142" s="84"/>
      <c r="R142" s="48"/>
      <c r="S142" s="91"/>
      <c r="T142" s="190"/>
      <c r="U142" s="50"/>
      <c r="V142" s="204"/>
      <c r="W142" s="190"/>
      <c r="X142" s="190">
        <v>20916.5</v>
      </c>
      <c r="Y142" s="204">
        <f>W142+X142</f>
        <v>20916.5</v>
      </c>
      <c r="Z142" s="190"/>
      <c r="AA142" s="190">
        <f>25353.6+201.6</f>
        <v>25555.199999999997</v>
      </c>
      <c r="AB142" s="204">
        <f>Z142+AA142</f>
        <v>25555.199999999997</v>
      </c>
      <c r="AC142" s="212"/>
      <c r="AD142" s="212"/>
      <c r="AE142" s="224"/>
      <c r="AF142" s="212"/>
      <c r="AG142" s="228"/>
      <c r="AH142" s="96"/>
    </row>
    <row r="143" spans="1:35" ht="24.75" customHeight="1" x14ac:dyDescent="0.3">
      <c r="A143" s="59"/>
      <c r="B143" s="6" t="s">
        <v>44</v>
      </c>
      <c r="C143" s="46"/>
      <c r="D143" s="14"/>
      <c r="E143" s="167"/>
      <c r="F143" s="243"/>
      <c r="G143" s="14"/>
      <c r="H143" s="140"/>
      <c r="I143" s="91"/>
      <c r="J143" s="243"/>
      <c r="K143" s="243"/>
      <c r="L143" s="48"/>
      <c r="M143" s="91"/>
      <c r="N143" s="84"/>
      <c r="O143" s="48"/>
      <c r="P143" s="91"/>
      <c r="Q143" s="84"/>
      <c r="R143" s="48"/>
      <c r="S143" s="91"/>
      <c r="T143" s="190"/>
      <c r="U143" s="50"/>
      <c r="V143" s="204"/>
      <c r="W143" s="190"/>
      <c r="X143" s="190"/>
      <c r="Y143" s="204"/>
      <c r="Z143" s="190"/>
      <c r="AA143" s="190"/>
      <c r="AB143" s="204"/>
      <c r="AC143" s="212"/>
      <c r="AD143" s="212">
        <v>1400000</v>
      </c>
      <c r="AE143" s="224">
        <f>AC143+AD143</f>
        <v>1400000</v>
      </c>
      <c r="AF143" s="212"/>
      <c r="AG143" s="303">
        <v>1455908.3</v>
      </c>
      <c r="AH143" s="261">
        <f>AF143+AG143</f>
        <v>1455908.3</v>
      </c>
    </row>
    <row r="144" spans="1:35" ht="131.25" customHeight="1" x14ac:dyDescent="0.3">
      <c r="A144" s="60"/>
      <c r="B144" s="293" t="s">
        <v>126</v>
      </c>
      <c r="C144" s="46"/>
      <c r="D144" s="14">
        <v>2024</v>
      </c>
      <c r="E144" s="167"/>
      <c r="F144" s="297">
        <v>122.2</v>
      </c>
      <c r="G144" s="14"/>
      <c r="H144" s="140"/>
      <c r="I144" s="91">
        <v>803328</v>
      </c>
      <c r="J144" s="243"/>
      <c r="K144" s="243"/>
      <c r="L144" s="48"/>
      <c r="M144" s="91"/>
      <c r="N144" s="84"/>
      <c r="O144" s="48"/>
      <c r="P144" s="91"/>
      <c r="Q144" s="48">
        <f>Q145+Q146</f>
        <v>10479</v>
      </c>
      <c r="R144" s="48">
        <f>R145+R146</f>
        <v>-10479</v>
      </c>
      <c r="S144" s="91">
        <f>S145+S146</f>
        <v>0</v>
      </c>
      <c r="T144" s="190"/>
      <c r="U144" s="50">
        <f>U145+U146</f>
        <v>7356</v>
      </c>
      <c r="V144" s="204">
        <f>V145+V146</f>
        <v>7356</v>
      </c>
      <c r="W144" s="190">
        <f>W145+W146</f>
        <v>0</v>
      </c>
      <c r="X144" s="190">
        <f t="shared" ref="X144:Y144" si="167">X145+X146</f>
        <v>316901</v>
      </c>
      <c r="Y144" s="190">
        <f t="shared" si="167"/>
        <v>316901</v>
      </c>
      <c r="Z144" s="190"/>
      <c r="AA144" s="190">
        <f>AA145+AA146</f>
        <v>479071</v>
      </c>
      <c r="AB144" s="190">
        <f>AB145+AB146</f>
        <v>479071</v>
      </c>
      <c r="AC144" s="212"/>
      <c r="AD144" s="212"/>
      <c r="AE144" s="224"/>
      <c r="AF144" s="212"/>
      <c r="AG144" s="228"/>
      <c r="AH144" s="96"/>
      <c r="AI144" s="40">
        <f>I144-S144-V144-Y144-AB144</f>
        <v>0</v>
      </c>
    </row>
    <row r="145" spans="1:35" ht="24.75" customHeight="1" x14ac:dyDescent="0.3">
      <c r="A145" s="59"/>
      <c r="B145" s="26" t="s">
        <v>22</v>
      </c>
      <c r="C145" s="33"/>
      <c r="D145" s="28"/>
      <c r="E145" s="19"/>
      <c r="F145" s="245"/>
      <c r="G145" s="28"/>
      <c r="H145" s="138"/>
      <c r="I145" s="92"/>
      <c r="J145" s="245"/>
      <c r="K145" s="245"/>
      <c r="L145" s="35"/>
      <c r="M145" s="92"/>
      <c r="N145" s="85"/>
      <c r="O145" s="35"/>
      <c r="P145" s="92"/>
      <c r="Q145" s="35">
        <f>Q147+Q148</f>
        <v>10479</v>
      </c>
      <c r="R145" s="35">
        <f>R147+R148</f>
        <v>-10479</v>
      </c>
      <c r="S145" s="92">
        <f>S147+S148</f>
        <v>0</v>
      </c>
      <c r="T145" s="189"/>
      <c r="U145" s="37">
        <f>U148</f>
        <v>0</v>
      </c>
      <c r="V145" s="203">
        <f>T145+U145</f>
        <v>0</v>
      </c>
      <c r="W145" s="189"/>
      <c r="X145" s="189">
        <v>270000</v>
      </c>
      <c r="Y145" s="203">
        <f>W145+X145</f>
        <v>270000</v>
      </c>
      <c r="Z145" s="189"/>
      <c r="AA145" s="189">
        <v>431164</v>
      </c>
      <c r="AB145" s="203">
        <f>AA145+Z145</f>
        <v>431164</v>
      </c>
      <c r="AC145" s="198"/>
      <c r="AD145" s="198"/>
      <c r="AE145" s="216"/>
      <c r="AF145" s="198"/>
      <c r="AG145" s="227"/>
      <c r="AH145" s="235"/>
    </row>
    <row r="146" spans="1:35" ht="24.75" customHeight="1" x14ac:dyDescent="0.3">
      <c r="A146" s="59"/>
      <c r="B146" s="6" t="s">
        <v>23</v>
      </c>
      <c r="C146" s="46"/>
      <c r="D146" s="14"/>
      <c r="E146" s="167"/>
      <c r="F146" s="243"/>
      <c r="G146" s="14"/>
      <c r="H146" s="140"/>
      <c r="I146" s="91"/>
      <c r="J146" s="243"/>
      <c r="K146" s="243"/>
      <c r="L146" s="48"/>
      <c r="M146" s="91"/>
      <c r="N146" s="84"/>
      <c r="O146" s="48"/>
      <c r="P146" s="91"/>
      <c r="Q146" s="84"/>
      <c r="R146" s="48"/>
      <c r="S146" s="91"/>
      <c r="T146" s="190"/>
      <c r="U146" s="50">
        <f>U147</f>
        <v>7356</v>
      </c>
      <c r="V146" s="50">
        <f>T146+U146</f>
        <v>7356</v>
      </c>
      <c r="W146" s="190"/>
      <c r="X146" s="190">
        <f>X147+30000</f>
        <v>46901</v>
      </c>
      <c r="Y146" s="204">
        <f>W146+X146</f>
        <v>46901</v>
      </c>
      <c r="Z146" s="190"/>
      <c r="AA146" s="190">
        <v>47907</v>
      </c>
      <c r="AB146" s="204">
        <f>Z146+AA146</f>
        <v>47907</v>
      </c>
      <c r="AC146" s="212"/>
      <c r="AD146" s="212"/>
      <c r="AE146" s="224"/>
      <c r="AF146" s="212"/>
      <c r="AG146" s="228"/>
      <c r="AH146" s="96"/>
    </row>
    <row r="147" spans="1:35" ht="24.75" customHeight="1" x14ac:dyDescent="0.3">
      <c r="A147" s="59"/>
      <c r="B147" s="6" t="s">
        <v>35</v>
      </c>
      <c r="C147" s="46"/>
      <c r="D147" s="14"/>
      <c r="E147" s="167"/>
      <c r="F147" s="243"/>
      <c r="G147" s="14"/>
      <c r="H147" s="140"/>
      <c r="I147" s="91"/>
      <c r="J147" s="243"/>
      <c r="K147" s="243"/>
      <c r="L147" s="48"/>
      <c r="M147" s="91"/>
      <c r="N147" s="84"/>
      <c r="O147" s="48"/>
      <c r="P147" s="91"/>
      <c r="Q147" s="48">
        <v>10479</v>
      </c>
      <c r="R147" s="48">
        <v>-10479</v>
      </c>
      <c r="S147" s="91">
        <f>Q147+R147</f>
        <v>0</v>
      </c>
      <c r="T147" s="190"/>
      <c r="U147" s="50">
        <v>7356</v>
      </c>
      <c r="V147" s="204">
        <f>T147+U147</f>
        <v>7356</v>
      </c>
      <c r="W147" s="190"/>
      <c r="X147" s="190">
        <v>16901</v>
      </c>
      <c r="Y147" s="204">
        <f>W147+X147</f>
        <v>16901</v>
      </c>
      <c r="Z147" s="190"/>
      <c r="AA147" s="190"/>
      <c r="AB147" s="204">
        <f>Z147+AA147</f>
        <v>0</v>
      </c>
      <c r="AC147" s="212"/>
      <c r="AD147" s="212"/>
      <c r="AE147" s="224"/>
      <c r="AF147" s="212"/>
      <c r="AG147" s="228"/>
      <c r="AH147" s="96"/>
    </row>
    <row r="148" spans="1:35" ht="24.75" customHeight="1" x14ac:dyDescent="0.3">
      <c r="A148" s="59"/>
      <c r="B148" s="6" t="s">
        <v>44</v>
      </c>
      <c r="C148" s="46"/>
      <c r="D148" s="14"/>
      <c r="E148" s="167"/>
      <c r="F148" s="243"/>
      <c r="G148" s="14"/>
      <c r="H148" s="140"/>
      <c r="I148" s="91"/>
      <c r="J148" s="243"/>
      <c r="K148" s="243"/>
      <c r="L148" s="48"/>
      <c r="M148" s="91"/>
      <c r="N148" s="84"/>
      <c r="O148" s="48"/>
      <c r="P148" s="91"/>
      <c r="Q148" s="84"/>
      <c r="R148" s="48"/>
      <c r="S148" s="91"/>
      <c r="T148" s="190"/>
      <c r="U148" s="50"/>
      <c r="V148" s="204">
        <f>T148+U148</f>
        <v>0</v>
      </c>
      <c r="W148" s="190"/>
      <c r="X148" s="190">
        <f>30000+270000</f>
        <v>300000</v>
      </c>
      <c r="Y148" s="204">
        <f>W148+X148</f>
        <v>300000</v>
      </c>
      <c r="Z148" s="190"/>
      <c r="AA148" s="190">
        <v>479071</v>
      </c>
      <c r="AB148" s="204">
        <f>Z148+AA148</f>
        <v>479071</v>
      </c>
      <c r="AC148" s="212"/>
      <c r="AD148" s="212"/>
      <c r="AE148" s="224"/>
      <c r="AF148" s="212"/>
      <c r="AG148" s="228"/>
      <c r="AH148" s="96"/>
    </row>
    <row r="149" spans="1:35" ht="123.75" customHeight="1" x14ac:dyDescent="0.3">
      <c r="A149" s="60"/>
      <c r="B149" s="293" t="s">
        <v>127</v>
      </c>
      <c r="C149" s="46"/>
      <c r="D149" s="14">
        <v>2023</v>
      </c>
      <c r="E149" s="167"/>
      <c r="F149" s="297">
        <v>368</v>
      </c>
      <c r="G149" s="14"/>
      <c r="H149" s="140"/>
      <c r="I149" s="91">
        <v>1764282</v>
      </c>
      <c r="J149" s="243"/>
      <c r="K149" s="243"/>
      <c r="L149" s="48"/>
      <c r="M149" s="91"/>
      <c r="N149" s="84"/>
      <c r="O149" s="48"/>
      <c r="P149" s="91"/>
      <c r="Q149" s="84">
        <f>Q150+Q151</f>
        <v>35450</v>
      </c>
      <c r="R149" s="48">
        <f>R150+R151</f>
        <v>-27007</v>
      </c>
      <c r="S149" s="91">
        <f>S150+S151</f>
        <v>8443</v>
      </c>
      <c r="T149" s="190"/>
      <c r="U149" s="50">
        <f>U150+U151</f>
        <v>830058</v>
      </c>
      <c r="V149" s="204">
        <f>V150+V151</f>
        <v>830058</v>
      </c>
      <c r="W149" s="190"/>
      <c r="X149" s="190">
        <f>X150+X151</f>
        <v>925781</v>
      </c>
      <c r="Y149" s="190">
        <f>Y150+Y151</f>
        <v>925781</v>
      </c>
      <c r="Z149" s="190"/>
      <c r="AA149" s="190"/>
      <c r="AB149" s="204"/>
      <c r="AC149" s="212"/>
      <c r="AD149" s="212"/>
      <c r="AE149" s="224"/>
      <c r="AF149" s="212"/>
      <c r="AG149" s="228"/>
      <c r="AH149" s="96"/>
      <c r="AI149" s="40">
        <f>I149-M149-P149-S149-V149-Y149</f>
        <v>0</v>
      </c>
    </row>
    <row r="150" spans="1:35" ht="24.75" customHeight="1" x14ac:dyDescent="0.3">
      <c r="A150" s="59"/>
      <c r="B150" s="26" t="s">
        <v>22</v>
      </c>
      <c r="C150" s="33"/>
      <c r="D150" s="28"/>
      <c r="E150" s="19"/>
      <c r="F150" s="298"/>
      <c r="G150" s="28"/>
      <c r="H150" s="138"/>
      <c r="I150" s="92"/>
      <c r="J150" s="245"/>
      <c r="K150" s="245"/>
      <c r="L150" s="35"/>
      <c r="M150" s="92"/>
      <c r="N150" s="85"/>
      <c r="O150" s="35"/>
      <c r="P150" s="92"/>
      <c r="Q150" s="85">
        <f>Q152</f>
        <v>35450</v>
      </c>
      <c r="R150" s="35">
        <v>-35450</v>
      </c>
      <c r="S150" s="92"/>
      <c r="T150" s="189"/>
      <c r="U150" s="37">
        <v>720000</v>
      </c>
      <c r="V150" s="203">
        <f>T150+U150</f>
        <v>720000</v>
      </c>
      <c r="W150" s="189"/>
      <c r="X150" s="189">
        <v>833203</v>
      </c>
      <c r="Y150" s="203">
        <f>W150+X150</f>
        <v>833203</v>
      </c>
      <c r="Z150" s="189"/>
      <c r="AA150" s="189"/>
      <c r="AB150" s="203"/>
      <c r="AC150" s="198"/>
      <c r="AD150" s="198"/>
      <c r="AE150" s="216"/>
      <c r="AF150" s="198"/>
      <c r="AG150" s="227"/>
      <c r="AH150" s="235"/>
    </row>
    <row r="151" spans="1:35" ht="24.75" customHeight="1" x14ac:dyDescent="0.3">
      <c r="A151" s="59"/>
      <c r="B151" s="6" t="s">
        <v>23</v>
      </c>
      <c r="C151" s="46"/>
      <c r="D151" s="14"/>
      <c r="E151" s="167"/>
      <c r="F151" s="243"/>
      <c r="G151" s="14"/>
      <c r="H151" s="140"/>
      <c r="I151" s="91"/>
      <c r="J151" s="243"/>
      <c r="K151" s="243"/>
      <c r="L151" s="48"/>
      <c r="M151" s="91"/>
      <c r="N151" s="84"/>
      <c r="O151" s="48"/>
      <c r="P151" s="91"/>
      <c r="Q151" s="84"/>
      <c r="R151" s="48">
        <v>8443</v>
      </c>
      <c r="S151" s="48">
        <f>S152</f>
        <v>8443</v>
      </c>
      <c r="T151" s="190"/>
      <c r="U151" s="50">
        <f>U152+80000</f>
        <v>110058</v>
      </c>
      <c r="V151" s="50">
        <f>T151+U151</f>
        <v>110058</v>
      </c>
      <c r="W151" s="190"/>
      <c r="X151" s="190">
        <v>92578</v>
      </c>
      <c r="Y151" s="204">
        <f>W151+X151</f>
        <v>92578</v>
      </c>
      <c r="Z151" s="190"/>
      <c r="AA151" s="190"/>
      <c r="AB151" s="204"/>
      <c r="AC151" s="212"/>
      <c r="AD151" s="212"/>
      <c r="AE151" s="224"/>
      <c r="AF151" s="212"/>
      <c r="AG151" s="228"/>
      <c r="AH151" s="96"/>
    </row>
    <row r="152" spans="1:35" ht="24.75" customHeight="1" x14ac:dyDescent="0.3">
      <c r="A152" s="59"/>
      <c r="B152" s="6" t="s">
        <v>35</v>
      </c>
      <c r="C152" s="46"/>
      <c r="D152" s="14"/>
      <c r="E152" s="167"/>
      <c r="F152" s="243"/>
      <c r="G152" s="14"/>
      <c r="H152" s="140"/>
      <c r="I152" s="91"/>
      <c r="J152" s="243"/>
      <c r="K152" s="243"/>
      <c r="L152" s="48"/>
      <c r="M152" s="91"/>
      <c r="N152" s="84"/>
      <c r="O152" s="48"/>
      <c r="P152" s="91"/>
      <c r="Q152" s="48">
        <v>35450</v>
      </c>
      <c r="R152" s="48">
        <v>-27007</v>
      </c>
      <c r="S152" s="91">
        <f>Q152+R152</f>
        <v>8443</v>
      </c>
      <c r="T152" s="190"/>
      <c r="U152" s="50">
        <v>30058</v>
      </c>
      <c r="V152" s="204">
        <f>T152+U152</f>
        <v>30058</v>
      </c>
      <c r="W152" s="190"/>
      <c r="X152" s="190"/>
      <c r="Y152" s="204"/>
      <c r="Z152" s="190"/>
      <c r="AA152" s="190"/>
      <c r="AB152" s="204"/>
      <c r="AC152" s="212"/>
      <c r="AD152" s="212"/>
      <c r="AE152" s="224"/>
      <c r="AF152" s="212"/>
      <c r="AG152" s="228"/>
      <c r="AH152" s="96"/>
    </row>
    <row r="153" spans="1:35" ht="24.75" customHeight="1" x14ac:dyDescent="0.3">
      <c r="A153" s="59"/>
      <c r="B153" s="6" t="s">
        <v>44</v>
      </c>
      <c r="C153" s="46"/>
      <c r="D153" s="14"/>
      <c r="E153" s="167"/>
      <c r="F153" s="243"/>
      <c r="G153" s="14"/>
      <c r="H153" s="140"/>
      <c r="I153" s="91"/>
      <c r="J153" s="243"/>
      <c r="K153" s="243"/>
      <c r="L153" s="48"/>
      <c r="M153" s="91"/>
      <c r="N153" s="84"/>
      <c r="O153" s="48"/>
      <c r="P153" s="91"/>
      <c r="Q153" s="84"/>
      <c r="R153" s="48"/>
      <c r="S153" s="91"/>
      <c r="T153" s="190"/>
      <c r="U153" s="50">
        <f>80000+720000</f>
        <v>800000</v>
      </c>
      <c r="V153" s="204">
        <f>T153+U153</f>
        <v>800000</v>
      </c>
      <c r="W153" s="190"/>
      <c r="X153" s="190">
        <v>925781</v>
      </c>
      <c r="Y153" s="204">
        <f>W153+X153</f>
        <v>925781</v>
      </c>
      <c r="Z153" s="190"/>
      <c r="AA153" s="190"/>
      <c r="AB153" s="204"/>
      <c r="AC153" s="212"/>
      <c r="AD153" s="212"/>
      <c r="AE153" s="224"/>
      <c r="AF153" s="212"/>
      <c r="AG153" s="228"/>
      <c r="AH153" s="96"/>
    </row>
    <row r="154" spans="1:35" ht="125.25" customHeight="1" x14ac:dyDescent="0.3">
      <c r="A154" s="60"/>
      <c r="B154" s="293" t="s">
        <v>128</v>
      </c>
      <c r="C154" s="46"/>
      <c r="D154" s="14">
        <v>2023</v>
      </c>
      <c r="E154" s="167"/>
      <c r="F154" s="297">
        <v>174.12</v>
      </c>
      <c r="G154" s="14"/>
      <c r="H154" s="140"/>
      <c r="I154" s="91">
        <v>1081439</v>
      </c>
      <c r="J154" s="243"/>
      <c r="K154" s="243"/>
      <c r="L154" s="48"/>
      <c r="M154" s="91"/>
      <c r="N154" s="84"/>
      <c r="O154" s="48"/>
      <c r="P154" s="91"/>
      <c r="Q154" s="48">
        <f>Q155+Q156</f>
        <v>15426</v>
      </c>
      <c r="R154" s="48">
        <f>R155+R156</f>
        <v>-8482</v>
      </c>
      <c r="S154" s="91">
        <f>S155+S156</f>
        <v>6944</v>
      </c>
      <c r="T154" s="190"/>
      <c r="U154" s="50">
        <f>U155+U156</f>
        <v>518562</v>
      </c>
      <c r="V154" s="204">
        <f>V155+V156</f>
        <v>518562</v>
      </c>
      <c r="W154" s="190"/>
      <c r="X154" s="190">
        <f>X155+X156</f>
        <v>555933</v>
      </c>
      <c r="Y154" s="190">
        <f>Y155+Y156</f>
        <v>555933</v>
      </c>
      <c r="Z154" s="190"/>
      <c r="AA154" s="190"/>
      <c r="AB154" s="204"/>
      <c r="AC154" s="212"/>
      <c r="AD154" s="212"/>
      <c r="AE154" s="224"/>
      <c r="AF154" s="212"/>
      <c r="AG154" s="228"/>
      <c r="AH154" s="96"/>
      <c r="AI154" s="40">
        <f>I154-S154-V154-Y154</f>
        <v>0</v>
      </c>
    </row>
    <row r="155" spans="1:35" ht="24.75" customHeight="1" x14ac:dyDescent="0.3">
      <c r="A155" s="59"/>
      <c r="B155" s="26" t="s">
        <v>22</v>
      </c>
      <c r="C155" s="33"/>
      <c r="D155" s="28"/>
      <c r="E155" s="19"/>
      <c r="F155" s="245"/>
      <c r="G155" s="28"/>
      <c r="H155" s="138"/>
      <c r="I155" s="92"/>
      <c r="J155" s="245"/>
      <c r="K155" s="245"/>
      <c r="L155" s="35"/>
      <c r="M155" s="92"/>
      <c r="N155" s="85"/>
      <c r="O155" s="35"/>
      <c r="P155" s="92"/>
      <c r="Q155" s="35">
        <f>Q157</f>
        <v>15426</v>
      </c>
      <c r="R155" s="35">
        <v>-15426</v>
      </c>
      <c r="S155" s="92">
        <f>Q155+R155</f>
        <v>0</v>
      </c>
      <c r="T155" s="189"/>
      <c r="U155" s="37">
        <v>450000</v>
      </c>
      <c r="V155" s="203">
        <f>T155+U155</f>
        <v>450000</v>
      </c>
      <c r="W155" s="189"/>
      <c r="X155" s="189">
        <v>500340</v>
      </c>
      <c r="Y155" s="203">
        <f>W155+X155</f>
        <v>500340</v>
      </c>
      <c r="Z155" s="189"/>
      <c r="AA155" s="189"/>
      <c r="AB155" s="203"/>
      <c r="AC155" s="198"/>
      <c r="AD155" s="198"/>
      <c r="AE155" s="216"/>
      <c r="AF155" s="198"/>
      <c r="AG155" s="227"/>
      <c r="AH155" s="235"/>
    </row>
    <row r="156" spans="1:35" ht="24.75" customHeight="1" x14ac:dyDescent="0.3">
      <c r="A156" s="59"/>
      <c r="B156" s="6" t="s">
        <v>23</v>
      </c>
      <c r="C156" s="46"/>
      <c r="D156" s="14"/>
      <c r="E156" s="167"/>
      <c r="F156" s="243"/>
      <c r="G156" s="14"/>
      <c r="H156" s="140"/>
      <c r="I156" s="91"/>
      <c r="J156" s="243"/>
      <c r="K156" s="243"/>
      <c r="L156" s="48"/>
      <c r="M156" s="91"/>
      <c r="N156" s="84"/>
      <c r="O156" s="48"/>
      <c r="P156" s="91"/>
      <c r="Q156" s="84"/>
      <c r="R156" s="84">
        <v>6944</v>
      </c>
      <c r="S156" s="84">
        <f t="shared" ref="S156" si="168">S157</f>
        <v>6944</v>
      </c>
      <c r="T156" s="190"/>
      <c r="U156" s="50">
        <f>U157+50000</f>
        <v>68562</v>
      </c>
      <c r="V156" s="50">
        <f>T156+U156</f>
        <v>68562</v>
      </c>
      <c r="W156" s="190"/>
      <c r="X156" s="190">
        <v>55593</v>
      </c>
      <c r="Y156" s="204">
        <f>W156+X156</f>
        <v>55593</v>
      </c>
      <c r="Z156" s="190"/>
      <c r="AA156" s="190"/>
      <c r="AB156" s="204"/>
      <c r="AC156" s="212"/>
      <c r="AD156" s="212"/>
      <c r="AE156" s="224"/>
      <c r="AF156" s="212"/>
      <c r="AG156" s="228"/>
      <c r="AH156" s="96"/>
    </row>
    <row r="157" spans="1:35" ht="24.75" customHeight="1" x14ac:dyDescent="0.3">
      <c r="A157" s="59"/>
      <c r="B157" s="6" t="s">
        <v>35</v>
      </c>
      <c r="C157" s="46"/>
      <c r="D157" s="14"/>
      <c r="E157" s="167"/>
      <c r="F157" s="243"/>
      <c r="G157" s="14"/>
      <c r="H157" s="140"/>
      <c r="I157" s="91"/>
      <c r="J157" s="243"/>
      <c r="K157" s="243"/>
      <c r="L157" s="48"/>
      <c r="M157" s="91"/>
      <c r="N157" s="84"/>
      <c r="O157" s="48"/>
      <c r="P157" s="91"/>
      <c r="Q157" s="48">
        <v>15426</v>
      </c>
      <c r="R157" s="48">
        <v>-8482</v>
      </c>
      <c r="S157" s="91">
        <f>Q157+R157</f>
        <v>6944</v>
      </c>
      <c r="T157" s="190"/>
      <c r="U157" s="50">
        <v>18562</v>
      </c>
      <c r="V157" s="204">
        <f>T157+U157</f>
        <v>18562</v>
      </c>
      <c r="W157" s="190"/>
      <c r="X157" s="190"/>
      <c r="Y157" s="204"/>
      <c r="Z157" s="190"/>
      <c r="AA157" s="190"/>
      <c r="AB157" s="204"/>
      <c r="AC157" s="212"/>
      <c r="AD157" s="212"/>
      <c r="AE157" s="224"/>
      <c r="AF157" s="212"/>
      <c r="AG157" s="228"/>
      <c r="AH157" s="96"/>
    </row>
    <row r="158" spans="1:35" ht="24.75" customHeight="1" x14ac:dyDescent="0.3">
      <c r="A158" s="59"/>
      <c r="B158" s="6" t="s">
        <v>44</v>
      </c>
      <c r="C158" s="46"/>
      <c r="D158" s="14"/>
      <c r="E158" s="167"/>
      <c r="F158" s="243"/>
      <c r="G158" s="14"/>
      <c r="H158" s="140"/>
      <c r="I158" s="91"/>
      <c r="J158" s="243"/>
      <c r="K158" s="243"/>
      <c r="L158" s="48"/>
      <c r="M158" s="91"/>
      <c r="N158" s="84"/>
      <c r="O158" s="48"/>
      <c r="P158" s="91"/>
      <c r="Q158" s="84"/>
      <c r="R158" s="48"/>
      <c r="S158" s="91"/>
      <c r="T158" s="190"/>
      <c r="U158" s="50">
        <f>450000+68562</f>
        <v>518562</v>
      </c>
      <c r="V158" s="204">
        <f>U158+T158</f>
        <v>518562</v>
      </c>
      <c r="W158" s="190"/>
      <c r="X158" s="190">
        <f>500340+55593</f>
        <v>555933</v>
      </c>
      <c r="Y158" s="204">
        <f>W158+X158</f>
        <v>555933</v>
      </c>
      <c r="Z158" s="190"/>
      <c r="AA158" s="190"/>
      <c r="AB158" s="204"/>
      <c r="AC158" s="212"/>
      <c r="AD158" s="212"/>
      <c r="AE158" s="224"/>
      <c r="AF158" s="212"/>
      <c r="AG158" s="228"/>
      <c r="AH158" s="96"/>
    </row>
    <row r="159" spans="1:35" ht="120.75" customHeight="1" x14ac:dyDescent="0.3">
      <c r="A159" s="60"/>
      <c r="B159" s="293" t="s">
        <v>129</v>
      </c>
      <c r="C159" s="46"/>
      <c r="D159" s="14">
        <v>2024</v>
      </c>
      <c r="E159" s="167"/>
      <c r="F159" s="297">
        <v>220.65</v>
      </c>
      <c r="G159" s="14"/>
      <c r="H159" s="140"/>
      <c r="I159" s="91">
        <v>1090052</v>
      </c>
      <c r="J159" s="243"/>
      <c r="K159" s="243"/>
      <c r="L159" s="48"/>
      <c r="M159" s="91"/>
      <c r="N159" s="84"/>
      <c r="O159" s="48"/>
      <c r="P159" s="91"/>
      <c r="Q159" s="48">
        <f>Q160+Q161</f>
        <v>21945</v>
      </c>
      <c r="R159" s="48">
        <f>R160+R161</f>
        <v>-21945</v>
      </c>
      <c r="S159" s="91">
        <f>S160+S161</f>
        <v>0</v>
      </c>
      <c r="T159" s="190"/>
      <c r="U159" s="50">
        <f>U160+U161</f>
        <v>8496</v>
      </c>
      <c r="V159" s="204">
        <f>V160+V161</f>
        <v>8496</v>
      </c>
      <c r="W159" s="190"/>
      <c r="X159" s="190">
        <f>X160+X161</f>
        <v>521004</v>
      </c>
      <c r="Y159" s="190">
        <f>Y160+Y161</f>
        <v>521004</v>
      </c>
      <c r="Z159" s="190"/>
      <c r="AA159" s="190">
        <f>AA160+AA161</f>
        <v>560552</v>
      </c>
      <c r="AB159" s="190">
        <f>AB160+AB161</f>
        <v>560552</v>
      </c>
      <c r="AC159" s="212"/>
      <c r="AD159" s="212"/>
      <c r="AE159" s="224"/>
      <c r="AF159" s="212"/>
      <c r="AG159" s="228"/>
      <c r="AH159" s="96"/>
      <c r="AI159" s="40">
        <f>I159-S159-V159-Y159-AB159</f>
        <v>0</v>
      </c>
    </row>
    <row r="160" spans="1:35" ht="24.75" customHeight="1" x14ac:dyDescent="0.3">
      <c r="A160" s="59"/>
      <c r="B160" s="26" t="s">
        <v>22</v>
      </c>
      <c r="C160" s="33"/>
      <c r="D160" s="28"/>
      <c r="E160" s="19"/>
      <c r="F160" s="245"/>
      <c r="G160" s="28"/>
      <c r="H160" s="138"/>
      <c r="I160" s="92"/>
      <c r="J160" s="245"/>
      <c r="K160" s="245"/>
      <c r="L160" s="35"/>
      <c r="M160" s="92"/>
      <c r="N160" s="85"/>
      <c r="O160" s="35"/>
      <c r="P160" s="92"/>
      <c r="Q160" s="85">
        <v>21945</v>
      </c>
      <c r="R160" s="35">
        <f>R162+R163</f>
        <v>-21945</v>
      </c>
      <c r="S160" s="92">
        <f>S162+S163</f>
        <v>0</v>
      </c>
      <c r="T160" s="189"/>
      <c r="U160" s="37"/>
      <c r="V160" s="203"/>
      <c r="W160" s="189"/>
      <c r="X160" s="189">
        <v>450000</v>
      </c>
      <c r="Y160" s="203">
        <f>W160+X160</f>
        <v>450000</v>
      </c>
      <c r="Z160" s="189"/>
      <c r="AA160" s="189">
        <v>504497</v>
      </c>
      <c r="AB160" s="203">
        <f>Z160+AA160</f>
        <v>504497</v>
      </c>
      <c r="AC160" s="198"/>
      <c r="AD160" s="198"/>
      <c r="AE160" s="216"/>
      <c r="AF160" s="198"/>
      <c r="AG160" s="227"/>
      <c r="AH160" s="235"/>
    </row>
    <row r="161" spans="1:35" ht="24.75" customHeight="1" x14ac:dyDescent="0.3">
      <c r="A161" s="59"/>
      <c r="B161" s="6" t="s">
        <v>23</v>
      </c>
      <c r="C161" s="46"/>
      <c r="D161" s="14"/>
      <c r="E161" s="167"/>
      <c r="F161" s="243"/>
      <c r="G161" s="14"/>
      <c r="H161" s="140"/>
      <c r="I161" s="91"/>
      <c r="J161" s="243"/>
      <c r="K161" s="243"/>
      <c r="L161" s="48"/>
      <c r="M161" s="91"/>
      <c r="N161" s="84"/>
      <c r="O161" s="48"/>
      <c r="P161" s="91"/>
      <c r="Q161" s="84"/>
      <c r="R161" s="48"/>
      <c r="S161" s="91"/>
      <c r="T161" s="190"/>
      <c r="U161" s="50">
        <f>U162</f>
        <v>8496</v>
      </c>
      <c r="V161" s="204">
        <f>T161+U161</f>
        <v>8496</v>
      </c>
      <c r="W161" s="190"/>
      <c r="X161" s="190">
        <f>X162+50000</f>
        <v>71004</v>
      </c>
      <c r="Y161" s="204">
        <f>W161+X161</f>
        <v>71004</v>
      </c>
      <c r="Z161" s="190"/>
      <c r="AA161" s="190">
        <v>56055</v>
      </c>
      <c r="AB161" s="204">
        <f>Z161+AA161</f>
        <v>56055</v>
      </c>
      <c r="AC161" s="212"/>
      <c r="AD161" s="212"/>
      <c r="AE161" s="224"/>
      <c r="AF161" s="212"/>
      <c r="AG161" s="228"/>
      <c r="AH161" s="96"/>
    </row>
    <row r="162" spans="1:35" ht="24.75" customHeight="1" x14ac:dyDescent="0.3">
      <c r="A162" s="59"/>
      <c r="B162" s="6" t="s">
        <v>35</v>
      </c>
      <c r="C162" s="46"/>
      <c r="D162" s="14"/>
      <c r="E162" s="167"/>
      <c r="F162" s="243"/>
      <c r="G162" s="14"/>
      <c r="H162" s="140"/>
      <c r="I162" s="91"/>
      <c r="J162" s="243"/>
      <c r="K162" s="243"/>
      <c r="L162" s="48"/>
      <c r="M162" s="91"/>
      <c r="N162" s="84"/>
      <c r="O162" s="48"/>
      <c r="P162" s="91"/>
      <c r="Q162" s="48">
        <v>21945</v>
      </c>
      <c r="R162" s="48">
        <v>-21945</v>
      </c>
      <c r="S162" s="91">
        <f>Q162+R162</f>
        <v>0</v>
      </c>
      <c r="T162" s="190"/>
      <c r="U162" s="50">
        <v>8496</v>
      </c>
      <c r="V162" s="204">
        <f>T162+U162</f>
        <v>8496</v>
      </c>
      <c r="W162" s="190"/>
      <c r="X162" s="190">
        <v>21004</v>
      </c>
      <c r="Y162" s="204">
        <f>W162+X162</f>
        <v>21004</v>
      </c>
      <c r="Z162" s="190"/>
      <c r="AA162" s="190"/>
      <c r="AB162" s="204"/>
      <c r="AC162" s="212"/>
      <c r="AD162" s="212"/>
      <c r="AE162" s="224"/>
      <c r="AF162" s="212"/>
      <c r="AG162" s="228"/>
      <c r="AH162" s="96"/>
    </row>
    <row r="163" spans="1:35" ht="24.75" customHeight="1" x14ac:dyDescent="0.3">
      <c r="A163" s="59"/>
      <c r="B163" s="6" t="s">
        <v>44</v>
      </c>
      <c r="C163" s="46"/>
      <c r="D163" s="14"/>
      <c r="E163" s="167"/>
      <c r="F163" s="243"/>
      <c r="G163" s="14"/>
      <c r="H163" s="140"/>
      <c r="I163" s="91"/>
      <c r="J163" s="243"/>
      <c r="K163" s="243"/>
      <c r="L163" s="48"/>
      <c r="M163" s="91"/>
      <c r="N163" s="84"/>
      <c r="O163" s="48"/>
      <c r="P163" s="91"/>
      <c r="Q163" s="84"/>
      <c r="R163" s="48"/>
      <c r="S163" s="91"/>
      <c r="T163" s="190"/>
      <c r="U163" s="50"/>
      <c r="V163" s="204">
        <f>T163+U163</f>
        <v>0</v>
      </c>
      <c r="W163" s="190"/>
      <c r="X163" s="190">
        <v>500000</v>
      </c>
      <c r="Y163" s="204">
        <f>W163+X163</f>
        <v>500000</v>
      </c>
      <c r="Z163" s="190"/>
      <c r="AA163" s="190">
        <v>560552</v>
      </c>
      <c r="AB163" s="204">
        <f>Z163+AA163</f>
        <v>560552</v>
      </c>
      <c r="AC163" s="212"/>
      <c r="AD163" s="212"/>
      <c r="AE163" s="224"/>
      <c r="AF163" s="212"/>
      <c r="AG163" s="228"/>
      <c r="AH163" s="96"/>
    </row>
    <row r="164" spans="1:35" ht="110.25" customHeight="1" x14ac:dyDescent="0.3">
      <c r="A164" s="60"/>
      <c r="B164" s="293" t="s">
        <v>130</v>
      </c>
      <c r="C164" s="46"/>
      <c r="D164" s="14">
        <v>2024</v>
      </c>
      <c r="E164" s="167"/>
      <c r="F164" s="297">
        <v>148.19999999999999</v>
      </c>
      <c r="G164" s="14"/>
      <c r="H164" s="140"/>
      <c r="I164" s="91">
        <v>770905</v>
      </c>
      <c r="J164" s="243"/>
      <c r="K164" s="243"/>
      <c r="L164" s="48"/>
      <c r="M164" s="91"/>
      <c r="N164" s="84"/>
      <c r="O164" s="48"/>
      <c r="P164" s="91"/>
      <c r="Q164" s="84">
        <f>Q165+Q166</f>
        <v>14500</v>
      </c>
      <c r="R164" s="48">
        <f>R165+R166</f>
        <v>-14500</v>
      </c>
      <c r="S164" s="91">
        <f>S165+S166</f>
        <v>0</v>
      </c>
      <c r="T164" s="190"/>
      <c r="U164" s="50">
        <f>U165+U166</f>
        <v>7699</v>
      </c>
      <c r="V164" s="204">
        <f>V165+V166</f>
        <v>7699</v>
      </c>
      <c r="W164" s="190"/>
      <c r="X164" s="190">
        <f>X165+X166</f>
        <v>318079</v>
      </c>
      <c r="Y164" s="190">
        <f>Y165+Y166</f>
        <v>318079</v>
      </c>
      <c r="Z164" s="190"/>
      <c r="AA164" s="190">
        <f>AA165+AA166</f>
        <v>445127</v>
      </c>
      <c r="AB164" s="190">
        <f>AB165+AB166</f>
        <v>445127</v>
      </c>
      <c r="AC164" s="212"/>
      <c r="AD164" s="212"/>
      <c r="AE164" s="224"/>
      <c r="AF164" s="212"/>
      <c r="AG164" s="228"/>
      <c r="AH164" s="96"/>
      <c r="AI164" s="40">
        <f>I164-S164-V164-Y164-AB164</f>
        <v>0</v>
      </c>
    </row>
    <row r="165" spans="1:35" ht="24.75" customHeight="1" x14ac:dyDescent="0.3">
      <c r="A165" s="59"/>
      <c r="B165" s="26" t="s">
        <v>22</v>
      </c>
      <c r="C165" s="33"/>
      <c r="D165" s="28"/>
      <c r="E165" s="19"/>
      <c r="F165" s="245"/>
      <c r="G165" s="28"/>
      <c r="H165" s="138"/>
      <c r="I165" s="92"/>
      <c r="J165" s="245"/>
      <c r="K165" s="245"/>
      <c r="L165" s="35"/>
      <c r="M165" s="92"/>
      <c r="N165" s="85"/>
      <c r="O165" s="35"/>
      <c r="P165" s="92"/>
      <c r="Q165" s="85">
        <f>Q167</f>
        <v>14500</v>
      </c>
      <c r="R165" s="85">
        <f t="shared" ref="R165:S165" si="169">R167</f>
        <v>-14500</v>
      </c>
      <c r="S165" s="85">
        <f t="shared" si="169"/>
        <v>0</v>
      </c>
      <c r="T165" s="189"/>
      <c r="U165" s="37"/>
      <c r="V165" s="203"/>
      <c r="W165" s="189"/>
      <c r="X165" s="189">
        <v>270000</v>
      </c>
      <c r="Y165" s="203">
        <f>W165+X165</f>
        <v>270000</v>
      </c>
      <c r="Z165" s="189"/>
      <c r="AA165" s="189">
        <v>400614</v>
      </c>
      <c r="AB165" s="203">
        <f>Z165+AA165</f>
        <v>400614</v>
      </c>
      <c r="AC165" s="198"/>
      <c r="AD165" s="198"/>
      <c r="AE165" s="216"/>
      <c r="AF165" s="198"/>
      <c r="AG165" s="227"/>
      <c r="AH165" s="235"/>
    </row>
    <row r="166" spans="1:35" ht="24.75" customHeight="1" x14ac:dyDescent="0.3">
      <c r="A166" s="59"/>
      <c r="B166" s="6" t="s">
        <v>23</v>
      </c>
      <c r="C166" s="46"/>
      <c r="D166" s="14"/>
      <c r="E166" s="167"/>
      <c r="F166" s="243"/>
      <c r="G166" s="14"/>
      <c r="H166" s="140"/>
      <c r="I166" s="91"/>
      <c r="J166" s="243"/>
      <c r="K166" s="243"/>
      <c r="L166" s="48"/>
      <c r="M166" s="91"/>
      <c r="N166" s="84"/>
      <c r="O166" s="48"/>
      <c r="P166" s="91"/>
      <c r="Q166" s="84"/>
      <c r="R166" s="84"/>
      <c r="S166" s="84">
        <f t="shared" ref="S166" si="170">S167</f>
        <v>0</v>
      </c>
      <c r="T166" s="190"/>
      <c r="U166" s="50">
        <f>U167</f>
        <v>7699</v>
      </c>
      <c r="V166" s="204">
        <f>T166+U166</f>
        <v>7699</v>
      </c>
      <c r="W166" s="190"/>
      <c r="X166" s="190">
        <f>X167+30000</f>
        <v>48079</v>
      </c>
      <c r="Y166" s="204">
        <f>W166+X166</f>
        <v>48079</v>
      </c>
      <c r="Z166" s="190"/>
      <c r="AA166" s="190">
        <v>44513</v>
      </c>
      <c r="AB166" s="204">
        <f>Z166+AA166</f>
        <v>44513</v>
      </c>
      <c r="AC166" s="212"/>
      <c r="AD166" s="212"/>
      <c r="AE166" s="224"/>
      <c r="AF166" s="212"/>
      <c r="AG166" s="228"/>
      <c r="AH166" s="96"/>
    </row>
    <row r="167" spans="1:35" ht="24.75" customHeight="1" x14ac:dyDescent="0.3">
      <c r="A167" s="59"/>
      <c r="B167" s="6" t="s">
        <v>35</v>
      </c>
      <c r="C167" s="46"/>
      <c r="D167" s="14"/>
      <c r="E167" s="167"/>
      <c r="F167" s="243"/>
      <c r="G167" s="14"/>
      <c r="H167" s="140"/>
      <c r="I167" s="91"/>
      <c r="J167" s="243"/>
      <c r="K167" s="243"/>
      <c r="L167" s="48"/>
      <c r="M167" s="91"/>
      <c r="N167" s="84"/>
      <c r="O167" s="48"/>
      <c r="P167" s="91"/>
      <c r="Q167" s="48">
        <v>14500</v>
      </c>
      <c r="R167" s="48">
        <v>-14500</v>
      </c>
      <c r="S167" s="91">
        <f>Q167+R167</f>
        <v>0</v>
      </c>
      <c r="T167" s="190"/>
      <c r="U167" s="50">
        <v>7699</v>
      </c>
      <c r="V167" s="204">
        <f>T167+U167</f>
        <v>7699</v>
      </c>
      <c r="W167" s="190"/>
      <c r="X167" s="190">
        <v>18079</v>
      </c>
      <c r="Y167" s="204">
        <f>W167+X167</f>
        <v>18079</v>
      </c>
      <c r="Z167" s="190"/>
      <c r="AA167" s="190"/>
      <c r="AB167" s="204"/>
      <c r="AC167" s="212"/>
      <c r="AD167" s="212"/>
      <c r="AE167" s="224"/>
      <c r="AF167" s="212"/>
      <c r="AG167" s="228"/>
      <c r="AH167" s="96"/>
    </row>
    <row r="168" spans="1:35" ht="24.75" customHeight="1" x14ac:dyDescent="0.3">
      <c r="A168" s="59"/>
      <c r="B168" s="6" t="s">
        <v>44</v>
      </c>
      <c r="C168" s="46"/>
      <c r="D168" s="14"/>
      <c r="E168" s="167"/>
      <c r="F168" s="243"/>
      <c r="G168" s="14"/>
      <c r="H168" s="140"/>
      <c r="I168" s="91"/>
      <c r="J168" s="243"/>
      <c r="K168" s="243"/>
      <c r="L168" s="48"/>
      <c r="M168" s="91"/>
      <c r="N168" s="84"/>
      <c r="O168" s="48"/>
      <c r="P168" s="91"/>
      <c r="Q168" s="84"/>
      <c r="R168" s="48"/>
      <c r="S168" s="91"/>
      <c r="T168" s="190"/>
      <c r="U168" s="50"/>
      <c r="V168" s="204">
        <f>T168+U168</f>
        <v>0</v>
      </c>
      <c r="W168" s="190"/>
      <c r="X168" s="190">
        <f>270000+30000</f>
        <v>300000</v>
      </c>
      <c r="Y168" s="204">
        <f>W168+X168</f>
        <v>300000</v>
      </c>
      <c r="Z168" s="190"/>
      <c r="AA168" s="190">
        <v>445127</v>
      </c>
      <c r="AB168" s="204">
        <f>Z168+AA168</f>
        <v>445127</v>
      </c>
      <c r="AC168" s="212"/>
      <c r="AD168" s="212"/>
      <c r="AE168" s="224"/>
      <c r="AF168" s="212"/>
      <c r="AG168" s="228"/>
      <c r="AH168" s="96"/>
    </row>
    <row r="169" spans="1:35" ht="28.5" hidden="1" customHeight="1" x14ac:dyDescent="0.3">
      <c r="A169" s="59"/>
      <c r="B169" s="42" t="s">
        <v>83</v>
      </c>
      <c r="C169" s="78"/>
      <c r="D169" s="79"/>
      <c r="E169" s="79"/>
      <c r="F169" s="81"/>
      <c r="G169" s="79"/>
      <c r="H169" s="144"/>
      <c r="I169" s="94"/>
      <c r="J169" s="86"/>
      <c r="K169" s="82"/>
      <c r="L169" s="80"/>
      <c r="M169" s="94">
        <v>0</v>
      </c>
      <c r="N169" s="86"/>
      <c r="O169" s="80"/>
      <c r="P169" s="94">
        <f t="shared" si="142"/>
        <v>0</v>
      </c>
      <c r="Q169" s="309">
        <f>28641.6+450000</f>
        <v>478641.6</v>
      </c>
      <c r="R169" s="160">
        <v>-478641.6</v>
      </c>
      <c r="S169" s="94">
        <f t="shared" si="143"/>
        <v>0</v>
      </c>
      <c r="T169" s="195"/>
      <c r="U169" s="119"/>
      <c r="V169" s="210"/>
      <c r="W169" s="194"/>
      <c r="X169" s="117"/>
      <c r="Y169" s="209">
        <f t="shared" ref="Y169" si="171">W169+X169</f>
        <v>0</v>
      </c>
      <c r="Z169" s="214"/>
      <c r="AA169" s="118"/>
      <c r="AB169" s="209">
        <f t="shared" ref="AB169" si="172">Z169+AA169</f>
        <v>0</v>
      </c>
      <c r="AC169" s="214"/>
      <c r="AD169" s="118"/>
      <c r="AE169" s="210">
        <f t="shared" ref="AE169" si="173">AC169+AD169</f>
        <v>0</v>
      </c>
      <c r="AF169" s="214"/>
      <c r="AG169" s="270"/>
      <c r="AH169" s="271">
        <f t="shared" ref="AH169" si="174">AF169+AG169</f>
        <v>0</v>
      </c>
    </row>
    <row r="170" spans="1:35" ht="49.5" customHeight="1" x14ac:dyDescent="0.3">
      <c r="A170" s="59"/>
      <c r="B170" s="22" t="s">
        <v>37</v>
      </c>
      <c r="C170" s="2"/>
      <c r="D170" s="2"/>
      <c r="E170" s="2"/>
      <c r="F170" s="2"/>
      <c r="G170" s="2"/>
      <c r="H170" s="145"/>
      <c r="I170" s="96"/>
      <c r="J170" s="87"/>
      <c r="K170" s="2"/>
      <c r="L170" s="2"/>
      <c r="M170" s="184">
        <v>0</v>
      </c>
      <c r="N170" s="112">
        <v>9430</v>
      </c>
      <c r="O170" s="112"/>
      <c r="P170" s="184">
        <f>N170+O170</f>
        <v>9430</v>
      </c>
      <c r="Q170" s="178">
        <f>31410.3-29-20000-9430</f>
        <v>1951.2999999999993</v>
      </c>
      <c r="R170" s="112">
        <v>-1951.3</v>
      </c>
      <c r="S170" s="184">
        <f>Q170+R170</f>
        <v>0</v>
      </c>
      <c r="T170" s="178">
        <v>30040</v>
      </c>
      <c r="U170" s="112">
        <v>-2522.3000000000002</v>
      </c>
      <c r="V170" s="184">
        <f>T170+U170</f>
        <v>27517.7</v>
      </c>
      <c r="W170" s="178">
        <v>30000</v>
      </c>
      <c r="X170" s="112"/>
      <c r="Y170" s="184">
        <f>W170+X170</f>
        <v>30000</v>
      </c>
      <c r="Z170" s="178">
        <v>30000</v>
      </c>
      <c r="AA170" s="112"/>
      <c r="AB170" s="184">
        <f>Z170+AA170</f>
        <v>30000</v>
      </c>
      <c r="AC170" s="178">
        <v>30000</v>
      </c>
      <c r="AD170" s="112"/>
      <c r="AE170" s="184">
        <f>AC170+AD170</f>
        <v>30000</v>
      </c>
      <c r="AF170" s="178">
        <v>30000</v>
      </c>
      <c r="AG170" s="2"/>
      <c r="AH170" s="184">
        <f>AF170+AG170</f>
        <v>30000</v>
      </c>
    </row>
    <row r="171" spans="1:35" x14ac:dyDescent="0.3">
      <c r="B171" s="21"/>
    </row>
    <row r="172" spans="1:35" ht="18" x14ac:dyDescent="0.35">
      <c r="A172" s="337" t="s">
        <v>28</v>
      </c>
      <c r="B172" s="337"/>
      <c r="C172" s="337"/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337"/>
      <c r="P172" s="337"/>
      <c r="Q172" s="337" t="s">
        <v>106</v>
      </c>
    </row>
  </sheetData>
  <mergeCells count="13">
    <mergeCell ref="J6:L6"/>
    <mergeCell ref="M6:AH6"/>
    <mergeCell ref="J14:J16"/>
    <mergeCell ref="A3:T3"/>
    <mergeCell ref="A4:T4"/>
    <mergeCell ref="A6:A7"/>
    <mergeCell ref="B6:B7"/>
    <mergeCell ref="C6:C7"/>
    <mergeCell ref="D6:D7"/>
    <mergeCell ref="E6:F6"/>
    <mergeCell ref="G6:G7"/>
    <mergeCell ref="H6:H7"/>
    <mergeCell ref="I6:I7"/>
  </mergeCells>
  <pageMargins left="0.21" right="0.19685039370078741" top="0.19685039370078741" bottom="0.19685039370078741" header="0.11811023622047245" footer="0.11811023622047245"/>
  <pageSetup paperSize="8" scale="57" fitToHeight="10" orientation="landscape" r:id="rId1"/>
  <headerFooter>
    <oddFooter>&amp;L&amp;8&amp;Z&amp;F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2"/>
  <sheetViews>
    <sheetView zoomScale="85" zoomScaleNormal="85" workbookViewId="0">
      <pane xSplit="2" ySplit="12" topLeftCell="C127" activePane="bottomRight" state="frozen"/>
      <selection pane="topRight" activeCell="C1" sqref="C1"/>
      <selection pane="bottomLeft" activeCell="A13" sqref="A13"/>
      <selection pane="bottomRight" activeCell="W129" sqref="W129"/>
    </sheetView>
  </sheetViews>
  <sheetFormatPr defaultRowHeight="14.4" outlineLevelRow="1" x14ac:dyDescent="0.3"/>
  <cols>
    <col min="1" max="1" width="4.6640625" customWidth="1"/>
    <col min="2" max="2" width="29.88671875" customWidth="1"/>
    <col min="3" max="3" width="16.109375" hidden="1" customWidth="1"/>
    <col min="4" max="4" width="7.44140625" customWidth="1"/>
    <col min="6" max="6" width="9.88671875" customWidth="1"/>
    <col min="7" max="7" width="11.5546875" hidden="1" customWidth="1"/>
    <col min="8" max="8" width="12.5546875" hidden="1" customWidth="1"/>
    <col min="9" max="9" width="13.88671875" customWidth="1"/>
    <col min="10" max="10" width="9.6640625" hidden="1" customWidth="1"/>
    <col min="11" max="11" width="9.44140625" hidden="1" customWidth="1"/>
    <col min="12" max="12" width="15" hidden="1" customWidth="1"/>
    <col min="13" max="13" width="12.6640625" customWidth="1"/>
    <col min="14" max="14" width="13" customWidth="1"/>
    <col min="15" max="15" width="12.44140625" customWidth="1"/>
    <col min="16" max="16" width="11.109375" customWidth="1"/>
    <col min="17" max="17" width="13.33203125" customWidth="1"/>
    <col min="18" max="18" width="14.44140625" customWidth="1"/>
    <col min="19" max="19" width="12.109375" customWidth="1"/>
    <col min="20" max="22" width="12.6640625" customWidth="1"/>
    <col min="23" max="23" width="13" customWidth="1"/>
    <col min="24" max="24" width="12.44140625" customWidth="1"/>
    <col min="25" max="25" width="13" customWidth="1"/>
    <col min="26" max="26" width="12.33203125" customWidth="1"/>
    <col min="27" max="28" width="13.109375" customWidth="1"/>
    <col min="29" max="29" width="13.88671875" customWidth="1"/>
    <col min="30" max="30" width="12.5546875" customWidth="1"/>
    <col min="31" max="31" width="13" customWidth="1"/>
    <col min="32" max="32" width="12.6640625" customWidth="1"/>
    <col min="33" max="33" width="12.5546875" customWidth="1"/>
    <col min="34" max="34" width="12.88671875" customWidth="1"/>
    <col min="35" max="35" width="15.109375" customWidth="1"/>
    <col min="36" max="36" width="12.6640625" customWidth="1"/>
  </cols>
  <sheetData>
    <row r="1" spans="1:36" ht="18" x14ac:dyDescent="0.3">
      <c r="M1" s="41"/>
      <c r="N1" s="24"/>
      <c r="O1" s="24"/>
      <c r="P1" s="24"/>
      <c r="Q1" s="25" t="s">
        <v>30</v>
      </c>
      <c r="R1" s="25"/>
      <c r="S1" s="25"/>
    </row>
    <row r="2" spans="1:36" ht="18" x14ac:dyDescent="0.35">
      <c r="N2" s="23"/>
      <c r="O2" s="23"/>
      <c r="P2" s="23"/>
      <c r="Q2" s="1" t="s">
        <v>31</v>
      </c>
      <c r="R2" s="1"/>
      <c r="S2" s="1"/>
      <c r="V2" t="s">
        <v>135</v>
      </c>
    </row>
    <row r="3" spans="1:36" ht="18" x14ac:dyDescent="0.35">
      <c r="A3" s="390" t="s">
        <v>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55"/>
      <c r="V3" s="355"/>
    </row>
    <row r="4" spans="1:36" ht="39.75" customHeight="1" x14ac:dyDescent="0.3">
      <c r="A4" s="391" t="s">
        <v>93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56"/>
      <c r="V4" s="356"/>
    </row>
    <row r="5" spans="1:36" ht="13.5" customHeight="1" x14ac:dyDescent="0.35">
      <c r="A5" s="1"/>
      <c r="N5" s="122" t="s">
        <v>133</v>
      </c>
      <c r="AH5" t="s">
        <v>132</v>
      </c>
    </row>
    <row r="6" spans="1:36" ht="45.75" customHeight="1" x14ac:dyDescent="0.3">
      <c r="A6" s="392" t="s">
        <v>3</v>
      </c>
      <c r="B6" s="386" t="s">
        <v>1</v>
      </c>
      <c r="C6" s="386" t="s">
        <v>2</v>
      </c>
      <c r="D6" s="386" t="s">
        <v>4</v>
      </c>
      <c r="E6" s="386" t="s">
        <v>5</v>
      </c>
      <c r="F6" s="386"/>
      <c r="G6" s="394" t="s">
        <v>29</v>
      </c>
      <c r="H6" s="394" t="s">
        <v>63</v>
      </c>
      <c r="I6" s="396" t="s">
        <v>7</v>
      </c>
      <c r="J6" s="385" t="s">
        <v>8</v>
      </c>
      <c r="K6" s="386"/>
      <c r="L6" s="386"/>
      <c r="M6" s="386" t="s">
        <v>85</v>
      </c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294"/>
      <c r="AJ6" s="294"/>
    </row>
    <row r="7" spans="1:36" ht="90.75" customHeight="1" x14ac:dyDescent="0.3">
      <c r="A7" s="393"/>
      <c r="B7" s="386"/>
      <c r="C7" s="386"/>
      <c r="D7" s="386"/>
      <c r="E7" s="353" t="s">
        <v>6</v>
      </c>
      <c r="F7" s="353" t="s">
        <v>19</v>
      </c>
      <c r="G7" s="395"/>
      <c r="H7" s="395"/>
      <c r="I7" s="396"/>
      <c r="J7" s="352" t="s">
        <v>6</v>
      </c>
      <c r="K7" s="353" t="s">
        <v>9</v>
      </c>
      <c r="L7" s="353" t="s">
        <v>10</v>
      </c>
      <c r="M7" s="171" t="s">
        <v>43</v>
      </c>
      <c r="N7" s="352" t="s">
        <v>11</v>
      </c>
      <c r="O7" s="14" t="s">
        <v>33</v>
      </c>
      <c r="P7" s="171" t="s">
        <v>46</v>
      </c>
      <c r="Q7" s="352" t="s">
        <v>12</v>
      </c>
      <c r="R7" s="14" t="s">
        <v>33</v>
      </c>
      <c r="S7" s="171" t="s">
        <v>53</v>
      </c>
      <c r="T7" s="352" t="s">
        <v>13</v>
      </c>
      <c r="U7" s="14" t="s">
        <v>33</v>
      </c>
      <c r="V7" s="171" t="s">
        <v>73</v>
      </c>
      <c r="W7" s="352" t="s">
        <v>40</v>
      </c>
      <c r="X7" s="14" t="s">
        <v>33</v>
      </c>
      <c r="Y7" s="171" t="s">
        <v>74</v>
      </c>
      <c r="Z7" s="352" t="s">
        <v>41</v>
      </c>
      <c r="AA7" s="14" t="s">
        <v>33</v>
      </c>
      <c r="AB7" s="171" t="s">
        <v>75</v>
      </c>
      <c r="AC7" s="352" t="s">
        <v>42</v>
      </c>
      <c r="AD7" s="14" t="s">
        <v>33</v>
      </c>
      <c r="AE7" s="171" t="s">
        <v>76</v>
      </c>
      <c r="AF7" s="172" t="s">
        <v>45</v>
      </c>
      <c r="AG7" s="14" t="s">
        <v>33</v>
      </c>
      <c r="AH7" s="171" t="s">
        <v>77</v>
      </c>
    </row>
    <row r="8" spans="1:36" ht="30.75" customHeight="1" x14ac:dyDescent="0.3">
      <c r="A8" s="2"/>
      <c r="B8" s="3" t="s">
        <v>34</v>
      </c>
      <c r="C8" s="4"/>
      <c r="D8" s="5"/>
      <c r="E8" s="11">
        <f>SUM(E14:E168)</f>
        <v>326.23700000000002</v>
      </c>
      <c r="F8" s="11">
        <f>SUM(F14:F168)</f>
        <v>2626.57</v>
      </c>
      <c r="G8" s="11">
        <f>SUM(G14:G168)</f>
        <v>20.720400000000001</v>
      </c>
      <c r="H8" s="135"/>
      <c r="I8" s="88">
        <f>SUM(I14:I168)</f>
        <v>54734484.467999995</v>
      </c>
      <c r="J8" s="83" t="e">
        <f>SUM(J14:J168)+#REF!</f>
        <v>#REF!</v>
      </c>
      <c r="K8" s="11" t="e">
        <f>SUM(K14:K168)+#REF!</f>
        <v>#REF!</v>
      </c>
      <c r="L8" s="11" t="e">
        <f>#REF!+L14+#REF!+L19+#REF!+L24+#REF!+#REF!+#REF!+#REF!+#REF!+#REF!+#REF!+#REF!+#REF!+#REF!+#REF!+#REF!+#REF!+#REF!+#REF!+#REF!+#REF!+#REF!+#REF!+#REF!+#REF!+#REF!+#REF!+#REF!+#REF!+#REF!+#REF!+#REF!+L124+L129+#REF!+#REF!+#REF!+L170</f>
        <v>#REF!</v>
      </c>
      <c r="M8" s="179">
        <f>M11+M12</f>
        <v>414849.9</v>
      </c>
      <c r="N8" s="306">
        <f t="shared" ref="N8:AH8" si="0">N11+N12</f>
        <v>336017</v>
      </c>
      <c r="O8" s="71">
        <f t="shared" si="0"/>
        <v>0</v>
      </c>
      <c r="P8" s="307">
        <f t="shared" si="0"/>
        <v>336017</v>
      </c>
      <c r="Q8" s="308">
        <f t="shared" si="0"/>
        <v>1577165.1</v>
      </c>
      <c r="R8" s="71">
        <f t="shared" si="0"/>
        <v>179969.6</v>
      </c>
      <c r="S8" s="307">
        <f t="shared" si="0"/>
        <v>1757134.7</v>
      </c>
      <c r="T8" s="308">
        <f t="shared" si="0"/>
        <v>3406871.8000000003</v>
      </c>
      <c r="U8" s="71">
        <f t="shared" si="0"/>
        <v>-179969.6</v>
      </c>
      <c r="V8" s="307">
        <f t="shared" si="0"/>
        <v>3226902.2</v>
      </c>
      <c r="W8" s="308">
        <f t="shared" si="0"/>
        <v>8980159.5</v>
      </c>
      <c r="X8" s="71">
        <f t="shared" si="0"/>
        <v>0</v>
      </c>
      <c r="Y8" s="307">
        <f t="shared" si="0"/>
        <v>8980159.5</v>
      </c>
      <c r="Z8" s="308">
        <f t="shared" si="0"/>
        <v>7853627</v>
      </c>
      <c r="AA8" s="71">
        <f t="shared" si="0"/>
        <v>0</v>
      </c>
      <c r="AB8" s="307">
        <f t="shared" si="0"/>
        <v>7853627</v>
      </c>
      <c r="AC8" s="308">
        <f t="shared" si="0"/>
        <v>11097091.299999999</v>
      </c>
      <c r="AD8" s="71">
        <f t="shared" si="0"/>
        <v>0</v>
      </c>
      <c r="AE8" s="307">
        <f t="shared" si="0"/>
        <v>11097091.299999999</v>
      </c>
      <c r="AF8" s="308">
        <f t="shared" si="0"/>
        <v>19612046.5</v>
      </c>
      <c r="AG8" s="71">
        <f t="shared" si="0"/>
        <v>0</v>
      </c>
      <c r="AH8" s="307">
        <f t="shared" si="0"/>
        <v>19612046.5</v>
      </c>
    </row>
    <row r="9" spans="1:36" ht="27.75" hidden="1" customHeight="1" outlineLevel="1" x14ac:dyDescent="0.3">
      <c r="A9" s="2"/>
      <c r="B9" s="39" t="s">
        <v>95</v>
      </c>
      <c r="C9" s="4"/>
      <c r="D9" s="5"/>
      <c r="E9" s="11"/>
      <c r="F9" s="11"/>
      <c r="G9" s="11"/>
      <c r="H9" s="135"/>
      <c r="I9" s="88"/>
      <c r="J9" s="83"/>
      <c r="K9" s="11"/>
      <c r="L9" s="11"/>
      <c r="M9" s="179">
        <f>M10+M11</f>
        <v>0</v>
      </c>
      <c r="N9" s="174">
        <f>N10+N11</f>
        <v>100000</v>
      </c>
      <c r="O9" s="174">
        <f t="shared" ref="O9:P9" si="1">O10+O11</f>
        <v>0</v>
      </c>
      <c r="P9" s="179">
        <f t="shared" si="1"/>
        <v>100000</v>
      </c>
      <c r="Q9" s="174">
        <f>Q10+Q11</f>
        <v>1850443.1</v>
      </c>
      <c r="R9" s="174">
        <f t="shared" ref="R9:S9" si="2">R10+R11</f>
        <v>-478641.6</v>
      </c>
      <c r="S9" s="179">
        <f t="shared" si="2"/>
        <v>1371801.5</v>
      </c>
      <c r="T9" s="174">
        <f>T10+T11</f>
        <v>2868745.2</v>
      </c>
      <c r="U9" s="174">
        <f t="shared" ref="U9:V9" si="3">U10+U11</f>
        <v>-179969.6</v>
      </c>
      <c r="V9" s="179">
        <f t="shared" si="3"/>
        <v>2688775.6</v>
      </c>
      <c r="W9" s="174">
        <f>W10+W11</f>
        <v>8479666.0999999996</v>
      </c>
      <c r="X9" s="174">
        <f t="shared" ref="X9:Y9" si="4">X10+X11</f>
        <v>0</v>
      </c>
      <c r="Y9" s="179">
        <f t="shared" si="4"/>
        <v>8479666.0999999996</v>
      </c>
      <c r="Z9" s="174" t="e">
        <f>Z10+Z11</f>
        <v>#REF!</v>
      </c>
      <c r="AA9" s="174">
        <f t="shared" ref="AA9:AB9" si="5">AA10+AA11</f>
        <v>445127</v>
      </c>
      <c r="AB9" s="179" t="e">
        <f t="shared" si="5"/>
        <v>#REF!</v>
      </c>
      <c r="AC9" s="174">
        <f>AC10+AC11</f>
        <v>11001815.699999999</v>
      </c>
      <c r="AD9" s="174">
        <f t="shared" ref="AD9:AE9" si="6">AD10+AD11</f>
        <v>0</v>
      </c>
      <c r="AE9" s="179">
        <f t="shared" si="6"/>
        <v>11001815.699999999</v>
      </c>
      <c r="AF9" s="174">
        <f>AF10+AF11</f>
        <v>19582046.5</v>
      </c>
      <c r="AG9" s="174">
        <f t="shared" ref="AG9:AH9" si="7">AG10+AG11</f>
        <v>0</v>
      </c>
      <c r="AH9" s="179">
        <f t="shared" si="7"/>
        <v>19582046.5</v>
      </c>
    </row>
    <row r="10" spans="1:36" ht="17.25" hidden="1" customHeight="1" outlineLevel="1" x14ac:dyDescent="0.3">
      <c r="A10" s="2"/>
      <c r="B10" s="39" t="s">
        <v>83</v>
      </c>
      <c r="C10" s="4"/>
      <c r="D10" s="5"/>
      <c r="E10" s="11"/>
      <c r="F10" s="11"/>
      <c r="G10" s="11"/>
      <c r="H10" s="135"/>
      <c r="I10" s="88"/>
      <c r="J10" s="83"/>
      <c r="K10" s="11"/>
      <c r="L10" s="11"/>
      <c r="M10" s="179">
        <f>M169</f>
        <v>0</v>
      </c>
      <c r="N10" s="179">
        <f t="shared" ref="N10:AH10" si="8">N169</f>
        <v>0</v>
      </c>
      <c r="O10" s="179">
        <f t="shared" si="8"/>
        <v>0</v>
      </c>
      <c r="P10" s="179">
        <f t="shared" si="8"/>
        <v>0</v>
      </c>
      <c r="Q10" s="307">
        <f t="shared" si="8"/>
        <v>478641.6</v>
      </c>
      <c r="R10" s="179">
        <f t="shared" si="8"/>
        <v>-478641.6</v>
      </c>
      <c r="S10" s="179">
        <f t="shared" si="8"/>
        <v>0</v>
      </c>
      <c r="T10" s="307">
        <f t="shared" si="8"/>
        <v>0</v>
      </c>
      <c r="U10" s="179">
        <f t="shared" si="8"/>
        <v>0</v>
      </c>
      <c r="V10" s="179">
        <f t="shared" si="8"/>
        <v>0</v>
      </c>
      <c r="W10" s="307">
        <f t="shared" si="8"/>
        <v>0</v>
      </c>
      <c r="X10" s="179">
        <f t="shared" si="8"/>
        <v>0</v>
      </c>
      <c r="Y10" s="179">
        <f t="shared" si="8"/>
        <v>0</v>
      </c>
      <c r="Z10" s="307" t="e">
        <f>#REF!</f>
        <v>#REF!</v>
      </c>
      <c r="AA10" s="179">
        <f>Z169</f>
        <v>445127</v>
      </c>
      <c r="AB10" s="179" t="e">
        <f t="shared" si="8"/>
        <v>#REF!</v>
      </c>
      <c r="AC10" s="307">
        <f t="shared" si="8"/>
        <v>0</v>
      </c>
      <c r="AD10" s="179">
        <f t="shared" si="8"/>
        <v>0</v>
      </c>
      <c r="AE10" s="179">
        <f t="shared" si="8"/>
        <v>0</v>
      </c>
      <c r="AF10" s="307">
        <f t="shared" si="8"/>
        <v>0</v>
      </c>
      <c r="AG10" s="179">
        <f t="shared" si="8"/>
        <v>0</v>
      </c>
      <c r="AH10" s="179">
        <f t="shared" si="8"/>
        <v>0</v>
      </c>
    </row>
    <row r="11" spans="1:36" ht="22.5" customHeight="1" outlineLevel="1" x14ac:dyDescent="0.3">
      <c r="A11" s="2"/>
      <c r="B11" s="3" t="s">
        <v>20</v>
      </c>
      <c r="C11" s="15"/>
      <c r="D11" s="5"/>
      <c r="E11" s="5"/>
      <c r="F11" s="5"/>
      <c r="G11" s="5"/>
      <c r="H11" s="136"/>
      <c r="I11" s="101"/>
      <c r="J11" s="97"/>
      <c r="K11" s="5"/>
      <c r="L11" s="15"/>
      <c r="M11" s="180">
        <f>M15+M20+M25+M30+M35+M40+M45+M55+M60+M65+M70+M75+M80+M85+M90+M110+M115+M120+M125+M130+M135+M50+M140+M145+M150+M155+M160+M165</f>
        <v>0</v>
      </c>
      <c r="N11" s="77">
        <f t="shared" ref="N11:AH11" si="9">N15+N20+N25+N30+N35+N40+N45+N55+N60+N65+N70+N75+N80+N85+N90+N110+N115+N120+N125+N130+N135+N50+N140+N145+N150+N155+N160+N165</f>
        <v>100000</v>
      </c>
      <c r="O11" s="77">
        <f t="shared" si="9"/>
        <v>0</v>
      </c>
      <c r="P11" s="180">
        <f t="shared" si="9"/>
        <v>100000</v>
      </c>
      <c r="Q11" s="295">
        <f t="shared" si="9"/>
        <v>1371801.5</v>
      </c>
      <c r="R11" s="77">
        <f t="shared" si="9"/>
        <v>0</v>
      </c>
      <c r="S11" s="180">
        <f t="shared" si="9"/>
        <v>1371801.5</v>
      </c>
      <c r="T11" s="295">
        <f t="shared" si="9"/>
        <v>2868745.2</v>
      </c>
      <c r="U11" s="77">
        <f t="shared" si="9"/>
        <v>-179969.6</v>
      </c>
      <c r="V11" s="180">
        <f t="shared" si="9"/>
        <v>2688775.6</v>
      </c>
      <c r="W11" s="295">
        <f t="shared" si="9"/>
        <v>8479666.0999999996</v>
      </c>
      <c r="X11" s="77">
        <f t="shared" si="9"/>
        <v>0</v>
      </c>
      <c r="Y11" s="180">
        <f t="shared" si="9"/>
        <v>8479666.0999999996</v>
      </c>
      <c r="Z11" s="295">
        <f t="shared" si="9"/>
        <v>7493977.9000000004</v>
      </c>
      <c r="AA11" s="77">
        <f t="shared" si="9"/>
        <v>0</v>
      </c>
      <c r="AB11" s="180">
        <f t="shared" si="9"/>
        <v>7493977.9000000004</v>
      </c>
      <c r="AC11" s="295">
        <f t="shared" si="9"/>
        <v>11001815.699999999</v>
      </c>
      <c r="AD11" s="77">
        <f t="shared" si="9"/>
        <v>0</v>
      </c>
      <c r="AE11" s="180">
        <f t="shared" si="9"/>
        <v>11001815.699999999</v>
      </c>
      <c r="AF11" s="295">
        <f t="shared" si="9"/>
        <v>19582046.5</v>
      </c>
      <c r="AG11" s="77">
        <f t="shared" si="9"/>
        <v>0</v>
      </c>
      <c r="AH11" s="180">
        <f t="shared" si="9"/>
        <v>19582046.5</v>
      </c>
    </row>
    <row r="12" spans="1:36" ht="19.5" customHeight="1" outlineLevel="1" x14ac:dyDescent="0.3">
      <c r="A12" s="2"/>
      <c r="B12" s="3" t="s">
        <v>21</v>
      </c>
      <c r="C12" s="15"/>
      <c r="D12" s="5"/>
      <c r="E12" s="5"/>
      <c r="F12" s="5"/>
      <c r="G12" s="5"/>
      <c r="H12" s="136"/>
      <c r="I12" s="101"/>
      <c r="J12" s="97"/>
      <c r="K12" s="5"/>
      <c r="L12" s="15"/>
      <c r="M12" s="180">
        <f>M16+M21+M24+M31+M36+M41+M46+M56+M61+M76+M81+M86+M91+M95+M97+M100+M103+M106+67767.4+M51+M111+M116+M121+M126+M131+M136+M141+M146+M151+M156+M161+M166</f>
        <v>414849.9</v>
      </c>
      <c r="N12" s="289">
        <f t="shared" ref="N12:AH12" si="10">N16+N21+N26+N31+N36+N41+N46+N51+N56+N61+N66+N71+N76+N81+N86+N91+N94+N97+N100+N103+N106+N111+N116+N121+N126+N131+N136+N141+N146+N151+N156+N161+N166+N170</f>
        <v>236017</v>
      </c>
      <c r="O12" s="289">
        <f t="shared" si="10"/>
        <v>0</v>
      </c>
      <c r="P12" s="180">
        <f t="shared" si="10"/>
        <v>236017</v>
      </c>
      <c r="Q12" s="295">
        <f t="shared" si="10"/>
        <v>205363.59999999998</v>
      </c>
      <c r="R12" s="289">
        <f t="shared" si="10"/>
        <v>179969.6</v>
      </c>
      <c r="S12" s="180">
        <f t="shared" si="10"/>
        <v>385333.19999999995</v>
      </c>
      <c r="T12" s="295">
        <f t="shared" si="10"/>
        <v>538126.6</v>
      </c>
      <c r="U12" s="289">
        <f t="shared" si="10"/>
        <v>0</v>
      </c>
      <c r="V12" s="180">
        <f t="shared" si="10"/>
        <v>538126.6</v>
      </c>
      <c r="W12" s="295">
        <f t="shared" si="10"/>
        <v>500493.4</v>
      </c>
      <c r="X12" s="289">
        <f t="shared" si="10"/>
        <v>0</v>
      </c>
      <c r="Y12" s="180">
        <f t="shared" si="10"/>
        <v>500493.4</v>
      </c>
      <c r="Z12" s="295">
        <f t="shared" si="10"/>
        <v>359649.10000000003</v>
      </c>
      <c r="AA12" s="289">
        <f t="shared" si="10"/>
        <v>0</v>
      </c>
      <c r="AB12" s="180">
        <f t="shared" si="10"/>
        <v>359649.10000000003</v>
      </c>
      <c r="AC12" s="295">
        <f t="shared" si="10"/>
        <v>95275.6</v>
      </c>
      <c r="AD12" s="289">
        <f t="shared" si="10"/>
        <v>0</v>
      </c>
      <c r="AE12" s="180">
        <f t="shared" si="10"/>
        <v>95275.6</v>
      </c>
      <c r="AF12" s="295">
        <f t="shared" si="10"/>
        <v>30000</v>
      </c>
      <c r="AG12" s="289">
        <f t="shared" si="10"/>
        <v>0</v>
      </c>
      <c r="AH12" s="180">
        <f t="shared" si="10"/>
        <v>30000</v>
      </c>
    </row>
    <row r="13" spans="1:36" ht="15" customHeight="1" outlineLevel="1" x14ac:dyDescent="0.3">
      <c r="A13" s="2"/>
      <c r="B13" s="6" t="s">
        <v>14</v>
      </c>
      <c r="C13" s="4"/>
      <c r="D13" s="5"/>
      <c r="E13" s="5"/>
      <c r="F13" s="5"/>
      <c r="G13" s="5"/>
      <c r="H13" s="136"/>
      <c r="I13" s="101"/>
      <c r="J13" s="97"/>
      <c r="K13" s="5"/>
      <c r="L13" s="4"/>
      <c r="M13" s="88"/>
      <c r="N13" s="83"/>
      <c r="O13" s="11"/>
      <c r="P13" s="88"/>
      <c r="Q13" s="83"/>
      <c r="R13" s="11"/>
      <c r="S13" s="88"/>
      <c r="T13" s="83"/>
      <c r="U13" s="11"/>
      <c r="V13" s="88"/>
      <c r="W13" s="87"/>
      <c r="X13" s="2"/>
      <c r="Y13" s="96"/>
      <c r="Z13" s="87"/>
      <c r="AA13" s="2"/>
      <c r="AB13" s="96"/>
      <c r="AC13" s="87"/>
      <c r="AD13" s="2"/>
      <c r="AE13" s="96"/>
      <c r="AF13" s="87"/>
      <c r="AG13" s="2"/>
      <c r="AH13" s="96"/>
    </row>
    <row r="14" spans="1:36" ht="92.25" customHeight="1" x14ac:dyDescent="0.3">
      <c r="A14" s="353">
        <v>2</v>
      </c>
      <c r="B14" s="6" t="s">
        <v>54</v>
      </c>
      <c r="C14" s="147"/>
      <c r="D14" s="51" t="s">
        <v>51</v>
      </c>
      <c r="E14" s="55">
        <v>26.63</v>
      </c>
      <c r="F14" s="51"/>
      <c r="G14" s="149"/>
      <c r="H14" s="146">
        <v>234324.59074000001</v>
      </c>
      <c r="I14" s="120">
        <v>1312156</v>
      </c>
      <c r="J14" s="387">
        <v>26.63</v>
      </c>
      <c r="K14" s="7"/>
      <c r="L14" s="32" t="e">
        <f>#REF!+#REF!+#REF!+#REF!</f>
        <v>#REF!</v>
      </c>
      <c r="M14" s="91">
        <f>M15+M16</f>
        <v>339917.6</v>
      </c>
      <c r="N14" s="84">
        <f t="shared" ref="N14:T14" si="11">N15+N16</f>
        <v>300207.3</v>
      </c>
      <c r="O14" s="48">
        <f t="shared" si="11"/>
        <v>0</v>
      </c>
      <c r="P14" s="91">
        <f t="shared" si="11"/>
        <v>300207.3</v>
      </c>
      <c r="Q14" s="84">
        <f t="shared" si="11"/>
        <v>437706.5</v>
      </c>
      <c r="R14" s="48">
        <f t="shared" si="11"/>
        <v>0</v>
      </c>
      <c r="S14" s="91">
        <f t="shared" si="11"/>
        <v>437706.5</v>
      </c>
      <c r="T14" s="84">
        <f t="shared" si="11"/>
        <v>0</v>
      </c>
      <c r="U14" s="48"/>
      <c r="V14" s="91">
        <f>T14+U14</f>
        <v>0</v>
      </c>
      <c r="W14" s="197"/>
      <c r="X14" s="111"/>
      <c r="Y14" s="215"/>
      <c r="Z14" s="178"/>
      <c r="AA14" s="112"/>
      <c r="AB14" s="184"/>
      <c r="AC14" s="178"/>
      <c r="AD14" s="112"/>
      <c r="AE14" s="184"/>
      <c r="AF14" s="197"/>
      <c r="AG14" s="76"/>
      <c r="AH14" s="233"/>
      <c r="AI14" s="38"/>
    </row>
    <row r="15" spans="1:36" s="58" customFormat="1" ht="30.75" customHeight="1" x14ac:dyDescent="0.3">
      <c r="A15" s="54" t="s">
        <v>26</v>
      </c>
      <c r="B15" s="26" t="s">
        <v>72</v>
      </c>
      <c r="C15" s="56"/>
      <c r="D15" s="26"/>
      <c r="E15" s="20"/>
      <c r="F15" s="26"/>
      <c r="G15" s="28"/>
      <c r="H15" s="138"/>
      <c r="I15" s="102"/>
      <c r="J15" s="388"/>
      <c r="K15" s="14"/>
      <c r="L15" s="14"/>
      <c r="M15" s="92">
        <v>0</v>
      </c>
      <c r="N15" s="175">
        <v>100000</v>
      </c>
      <c r="O15" s="36"/>
      <c r="P15" s="181">
        <f>N15+O15</f>
        <v>100000</v>
      </c>
      <c r="Q15" s="175">
        <v>421358.4</v>
      </c>
      <c r="R15" s="36">
        <v>-179969.6</v>
      </c>
      <c r="S15" s="181">
        <f>Q15+R15</f>
        <v>241388.80000000002</v>
      </c>
      <c r="T15" s="175"/>
      <c r="U15" s="36"/>
      <c r="V15" s="181"/>
      <c r="W15" s="198"/>
      <c r="X15" s="113"/>
      <c r="Y15" s="216"/>
      <c r="Z15" s="198"/>
      <c r="AA15" s="113"/>
      <c r="AB15" s="216"/>
      <c r="AC15" s="198"/>
      <c r="AD15" s="113"/>
      <c r="AE15" s="216"/>
      <c r="AF15" s="198"/>
      <c r="AG15" s="232"/>
      <c r="AH15" s="235"/>
    </row>
    <row r="16" spans="1:36" ht="24" customHeight="1" x14ac:dyDescent="0.3">
      <c r="A16" s="16" t="s">
        <v>27</v>
      </c>
      <c r="B16" s="6" t="s">
        <v>23</v>
      </c>
      <c r="C16" s="52"/>
      <c r="D16" s="53"/>
      <c r="E16" s="10"/>
      <c r="F16" s="53"/>
      <c r="G16" s="7"/>
      <c r="H16" s="137"/>
      <c r="I16" s="103"/>
      <c r="J16" s="389"/>
      <c r="K16" s="7"/>
      <c r="L16" s="7"/>
      <c r="M16" s="93">
        <f>M17+M18</f>
        <v>339917.6</v>
      </c>
      <c r="N16" s="174">
        <f>200500-292.7</f>
        <v>200207.3</v>
      </c>
      <c r="O16" s="71">
        <f t="shared" ref="O16" si="12">O17+O18</f>
        <v>0</v>
      </c>
      <c r="P16" s="179">
        <f t="shared" ref="P16:P18" si="13">N16+O16</f>
        <v>200207.3</v>
      </c>
      <c r="Q16" s="174">
        <f>Q17+Q18</f>
        <v>16348.099999999966</v>
      </c>
      <c r="R16" s="71">
        <f>R17+R18</f>
        <v>179969.6</v>
      </c>
      <c r="S16" s="206">
        <f t="shared" ref="S16" si="14">S17+S18</f>
        <v>196317.69999999998</v>
      </c>
      <c r="T16" s="174"/>
      <c r="U16" s="71"/>
      <c r="V16" s="179"/>
      <c r="W16" s="178"/>
      <c r="X16" s="112"/>
      <c r="Y16" s="184"/>
      <c r="Z16" s="178"/>
      <c r="AA16" s="112"/>
      <c r="AB16" s="184"/>
      <c r="AC16" s="178"/>
      <c r="AD16" s="112"/>
      <c r="AE16" s="184"/>
      <c r="AF16" s="178"/>
      <c r="AG16" s="2"/>
      <c r="AH16" s="96"/>
    </row>
    <row r="17" spans="1:37" ht="21" customHeight="1" x14ac:dyDescent="0.3">
      <c r="A17" s="16"/>
      <c r="B17" s="6" t="s">
        <v>35</v>
      </c>
      <c r="C17" s="148"/>
      <c r="D17" s="150"/>
      <c r="E17" s="152"/>
      <c r="F17" s="150"/>
      <c r="G17" s="150"/>
      <c r="H17" s="139"/>
      <c r="I17" s="104"/>
      <c r="J17" s="354"/>
      <c r="K17" s="7"/>
      <c r="L17" s="7"/>
      <c r="M17" s="93">
        <v>167.6</v>
      </c>
      <c r="N17" s="174">
        <f>200+300-292.7</f>
        <v>207.3</v>
      </c>
      <c r="O17" s="71"/>
      <c r="P17" s="179">
        <f t="shared" si="13"/>
        <v>207.3</v>
      </c>
      <c r="Q17" s="174">
        <f>100+292.7</f>
        <v>392.7</v>
      </c>
      <c r="R17" s="71"/>
      <c r="S17" s="179">
        <f>Q17+R17</f>
        <v>392.7</v>
      </c>
      <c r="T17" s="174"/>
      <c r="U17" s="71"/>
      <c r="V17" s="179"/>
      <c r="W17" s="178"/>
      <c r="X17" s="112"/>
      <c r="Y17" s="184"/>
      <c r="Z17" s="178"/>
      <c r="AA17" s="112"/>
      <c r="AB17" s="184"/>
      <c r="AC17" s="178"/>
      <c r="AD17" s="112"/>
      <c r="AE17" s="184"/>
      <c r="AF17" s="178"/>
      <c r="AG17" s="2"/>
      <c r="AH17" s="96"/>
    </row>
    <row r="18" spans="1:37" ht="21" customHeight="1" x14ac:dyDescent="0.3">
      <c r="A18" s="16"/>
      <c r="B18" s="6" t="s">
        <v>36</v>
      </c>
      <c r="C18" s="148"/>
      <c r="D18" s="150"/>
      <c r="E18" s="152"/>
      <c r="F18" s="150"/>
      <c r="G18" s="150"/>
      <c r="H18" s="139"/>
      <c r="I18" s="104"/>
      <c r="J18" s="354"/>
      <c r="K18" s="7"/>
      <c r="L18" s="7"/>
      <c r="M18" s="93">
        <v>339750</v>
      </c>
      <c r="N18" s="174">
        <v>300000</v>
      </c>
      <c r="O18" s="71"/>
      <c r="P18" s="179">
        <f t="shared" si="13"/>
        <v>300000</v>
      </c>
      <c r="Q18" s="174">
        <f>455875.3-18061.5-300-421558.4</f>
        <v>15955.399999999965</v>
      </c>
      <c r="R18" s="49">
        <v>179969.6</v>
      </c>
      <c r="S18" s="179">
        <f>Q18+R18</f>
        <v>195924.99999999997</v>
      </c>
      <c r="T18" s="174"/>
      <c r="U18" s="71"/>
      <c r="V18" s="179"/>
      <c r="W18" s="178"/>
      <c r="X18" s="112"/>
      <c r="Y18" s="184"/>
      <c r="Z18" s="178"/>
      <c r="AA18" s="112"/>
      <c r="AB18" s="184"/>
      <c r="AC18" s="178"/>
      <c r="AD18" s="112"/>
      <c r="AE18" s="184"/>
      <c r="AF18" s="178"/>
      <c r="AG18" s="2"/>
      <c r="AH18" s="96"/>
    </row>
    <row r="19" spans="1:37" ht="95.25" customHeight="1" x14ac:dyDescent="0.3">
      <c r="A19" s="353">
        <v>4</v>
      </c>
      <c r="B19" s="43" t="s">
        <v>78</v>
      </c>
      <c r="C19" s="239" t="s">
        <v>15</v>
      </c>
      <c r="D19" s="240" t="s">
        <v>66</v>
      </c>
      <c r="E19" s="240">
        <v>14.1</v>
      </c>
      <c r="F19" s="240"/>
      <c r="G19" s="239"/>
      <c r="H19" s="241"/>
      <c r="I19" s="251">
        <f>869198.1+13580</f>
        <v>882778.1</v>
      </c>
      <c r="J19" s="166">
        <v>13.83</v>
      </c>
      <c r="K19" s="14"/>
      <c r="L19" s="167" t="e">
        <f>#REF!+#REF!+#REF!</f>
        <v>#REF!</v>
      </c>
      <c r="M19" s="91">
        <f t="shared" ref="M19" si="15">M20+M21</f>
        <v>0</v>
      </c>
      <c r="N19" s="84">
        <f>N20+N21</f>
        <v>0</v>
      </c>
      <c r="O19" s="48">
        <f>O20+O21</f>
        <v>0</v>
      </c>
      <c r="P19" s="91">
        <f t="shared" ref="P19:AH19" si="16">P20+P21</f>
        <v>0</v>
      </c>
      <c r="Q19" s="84">
        <f t="shared" si="16"/>
        <v>0</v>
      </c>
      <c r="R19" s="48">
        <f t="shared" si="16"/>
        <v>0</v>
      </c>
      <c r="S19" s="91">
        <f t="shared" si="16"/>
        <v>0</v>
      </c>
      <c r="T19" s="84">
        <f t="shared" si="16"/>
        <v>0</v>
      </c>
      <c r="U19" s="48"/>
      <c r="V19" s="91"/>
      <c r="W19" s="84">
        <f t="shared" si="16"/>
        <v>4930.5</v>
      </c>
      <c r="X19" s="84">
        <f t="shared" si="16"/>
        <v>0</v>
      </c>
      <c r="Y19" s="91">
        <f t="shared" si="16"/>
        <v>4930.5</v>
      </c>
      <c r="Z19" s="84">
        <f t="shared" si="16"/>
        <v>12603.1</v>
      </c>
      <c r="AA19" s="84">
        <f t="shared" si="16"/>
        <v>0</v>
      </c>
      <c r="AB19" s="91">
        <f t="shared" si="16"/>
        <v>12603.1</v>
      </c>
      <c r="AC19" s="84">
        <f t="shared" si="16"/>
        <v>430000</v>
      </c>
      <c r="AD19" s="84">
        <f t="shared" si="16"/>
        <v>0</v>
      </c>
      <c r="AE19" s="91">
        <f t="shared" si="16"/>
        <v>430000</v>
      </c>
      <c r="AF19" s="84">
        <f t="shared" si="16"/>
        <v>435244.5</v>
      </c>
      <c r="AG19" s="84">
        <f t="shared" si="16"/>
        <v>0</v>
      </c>
      <c r="AH19" s="91">
        <f t="shared" si="16"/>
        <v>435244.5</v>
      </c>
      <c r="AI19" s="238">
        <f>I19-Y19-AB19-AE19-AH19</f>
        <v>0</v>
      </c>
    </row>
    <row r="20" spans="1:37" s="58" customFormat="1" ht="21.75" customHeight="1" x14ac:dyDescent="0.3">
      <c r="A20" s="54" t="s">
        <v>24</v>
      </c>
      <c r="B20" s="26" t="s">
        <v>22</v>
      </c>
      <c r="C20" s="56"/>
      <c r="D20" s="26"/>
      <c r="E20" s="26"/>
      <c r="F20" s="26"/>
      <c r="G20" s="28"/>
      <c r="H20" s="138"/>
      <c r="I20" s="106"/>
      <c r="J20" s="98"/>
      <c r="K20" s="28"/>
      <c r="L20" s="28"/>
      <c r="M20" s="92">
        <v>0</v>
      </c>
      <c r="N20" s="85"/>
      <c r="O20" s="35"/>
      <c r="P20" s="92">
        <f>N20+O20</f>
        <v>0</v>
      </c>
      <c r="Q20" s="85"/>
      <c r="R20" s="35"/>
      <c r="S20" s="92">
        <f>Q20+R20</f>
        <v>0</v>
      </c>
      <c r="T20" s="85"/>
      <c r="U20" s="35"/>
      <c r="V20" s="92"/>
      <c r="W20" s="199"/>
      <c r="X20" s="114"/>
      <c r="Y20" s="217"/>
      <c r="Z20" s="189">
        <f>Z23</f>
        <v>0</v>
      </c>
      <c r="AA20" s="189">
        <f t="shared" ref="AA20:AB20" si="17">AA23</f>
        <v>0</v>
      </c>
      <c r="AB20" s="203">
        <f t="shared" si="17"/>
        <v>0</v>
      </c>
      <c r="AC20" s="189">
        <f>AC23</f>
        <v>430000</v>
      </c>
      <c r="AD20" s="189">
        <f t="shared" ref="AD20:AE20" si="18">AD23</f>
        <v>0</v>
      </c>
      <c r="AE20" s="203">
        <f t="shared" si="18"/>
        <v>430000</v>
      </c>
      <c r="AF20" s="189">
        <f>AF23</f>
        <v>435244.5</v>
      </c>
      <c r="AG20" s="189">
        <f t="shared" ref="AG20:AH20" si="19">AG23</f>
        <v>0</v>
      </c>
      <c r="AH20" s="203">
        <f t="shared" si="19"/>
        <v>435244.5</v>
      </c>
    </row>
    <row r="21" spans="1:37" ht="22.5" customHeight="1" x14ac:dyDescent="0.3">
      <c r="A21" s="16" t="s">
        <v>25</v>
      </c>
      <c r="B21" s="6" t="s">
        <v>23</v>
      </c>
      <c r="C21" s="52"/>
      <c r="D21" s="53"/>
      <c r="E21" s="53"/>
      <c r="F21" s="53"/>
      <c r="G21" s="7"/>
      <c r="H21" s="137"/>
      <c r="I21" s="107"/>
      <c r="J21" s="99"/>
      <c r="K21" s="7"/>
      <c r="L21" s="7"/>
      <c r="M21" s="93">
        <v>0</v>
      </c>
      <c r="N21" s="174">
        <f>N22+N23</f>
        <v>0</v>
      </c>
      <c r="O21" s="71">
        <f>O22+O23</f>
        <v>0</v>
      </c>
      <c r="P21" s="179">
        <f>N21+O21</f>
        <v>0</v>
      </c>
      <c r="Q21" s="174"/>
      <c r="R21" s="71"/>
      <c r="S21" s="179">
        <f>Q21+R21</f>
        <v>0</v>
      </c>
      <c r="T21" s="174"/>
      <c r="U21" s="71"/>
      <c r="V21" s="179"/>
      <c r="W21" s="178">
        <f>W22</f>
        <v>4930.5</v>
      </c>
      <c r="X21" s="178">
        <f t="shared" ref="X21:Y21" si="20">X22</f>
        <v>0</v>
      </c>
      <c r="Y21" s="184">
        <f t="shared" si="20"/>
        <v>4930.5</v>
      </c>
      <c r="Z21" s="178">
        <f>Z22</f>
        <v>12603.1</v>
      </c>
      <c r="AA21" s="178">
        <f t="shared" ref="AA21:AB21" si="21">AA22</f>
        <v>0</v>
      </c>
      <c r="AB21" s="184">
        <f t="shared" si="21"/>
        <v>12603.1</v>
      </c>
      <c r="AC21" s="178"/>
      <c r="AD21" s="112"/>
      <c r="AE21" s="184"/>
      <c r="AF21" s="178"/>
      <c r="AG21" s="2"/>
      <c r="AH21" s="96"/>
    </row>
    <row r="22" spans="1:37" ht="17.25" customHeight="1" x14ac:dyDescent="0.3">
      <c r="A22" s="16"/>
      <c r="B22" s="6" t="s">
        <v>35</v>
      </c>
      <c r="C22" s="8"/>
      <c r="D22" s="7"/>
      <c r="E22" s="7"/>
      <c r="F22" s="7"/>
      <c r="G22" s="7"/>
      <c r="H22" s="137"/>
      <c r="I22" s="108"/>
      <c r="J22" s="12"/>
      <c r="K22" s="7"/>
      <c r="L22" s="7"/>
      <c r="M22" s="93">
        <v>0</v>
      </c>
      <c r="N22" s="174">
        <f>730-730</f>
        <v>0</v>
      </c>
      <c r="O22" s="71"/>
      <c r="P22" s="179">
        <f t="shared" ref="P22:P23" si="22">N22+O22</f>
        <v>0</v>
      </c>
      <c r="Q22" s="174"/>
      <c r="R22" s="71"/>
      <c r="S22" s="179">
        <f t="shared" ref="S22:S23" si="23">Q22+R22</f>
        <v>0</v>
      </c>
      <c r="T22" s="174"/>
      <c r="U22" s="71"/>
      <c r="V22" s="179"/>
      <c r="W22" s="178">
        <f>15000-10069.5</f>
        <v>4930.5</v>
      </c>
      <c r="X22" s="112"/>
      <c r="Y22" s="184">
        <f>W22+X22</f>
        <v>4930.5</v>
      </c>
      <c r="Z22" s="112">
        <v>12603.1</v>
      </c>
      <c r="AA22" s="112"/>
      <c r="AB22" s="184">
        <f>Z22+AA22</f>
        <v>12603.1</v>
      </c>
      <c r="AC22" s="178"/>
      <c r="AD22" s="112"/>
      <c r="AE22" s="184"/>
      <c r="AF22" s="178"/>
      <c r="AG22" s="2"/>
      <c r="AH22" s="96"/>
    </row>
    <row r="23" spans="1:37" ht="17.25" customHeight="1" x14ac:dyDescent="0.3">
      <c r="A23" s="16"/>
      <c r="B23" s="6" t="s">
        <v>36</v>
      </c>
      <c r="C23" s="8"/>
      <c r="D23" s="7"/>
      <c r="E23" s="7"/>
      <c r="F23" s="7"/>
      <c r="G23" s="7"/>
      <c r="H23" s="137"/>
      <c r="I23" s="108"/>
      <c r="J23" s="12"/>
      <c r="K23" s="7"/>
      <c r="L23" s="7"/>
      <c r="M23" s="93">
        <v>0</v>
      </c>
      <c r="N23" s="95"/>
      <c r="O23" s="69"/>
      <c r="P23" s="179">
        <f t="shared" si="22"/>
        <v>0</v>
      </c>
      <c r="Q23" s="84"/>
      <c r="R23" s="48"/>
      <c r="S23" s="179">
        <f t="shared" si="23"/>
        <v>0</v>
      </c>
      <c r="T23" s="84"/>
      <c r="U23" s="48"/>
      <c r="V23" s="91"/>
      <c r="W23" s="200"/>
      <c r="X23" s="115"/>
      <c r="Y23" s="218"/>
      <c r="Z23" s="211">
        <f>71136.5+178500-249636.5</f>
        <v>0</v>
      </c>
      <c r="AA23" s="134"/>
      <c r="AB23" s="223">
        <f>Z23+AA23</f>
        <v>0</v>
      </c>
      <c r="AC23" s="178">
        <f>300000+130000</f>
        <v>430000</v>
      </c>
      <c r="AD23" s="112"/>
      <c r="AE23" s="184">
        <f>AC23+AD23</f>
        <v>430000</v>
      </c>
      <c r="AF23" s="178">
        <f>317411.6+730+117102.9</f>
        <v>435244.5</v>
      </c>
      <c r="AG23" s="2"/>
      <c r="AH23" s="184">
        <f>AF23+AG23</f>
        <v>435244.5</v>
      </c>
    </row>
    <row r="24" spans="1:37" ht="80.25" customHeight="1" x14ac:dyDescent="0.3">
      <c r="A24" s="353">
        <v>6</v>
      </c>
      <c r="B24" s="43" t="s">
        <v>18</v>
      </c>
      <c r="C24" s="168" t="s">
        <v>16</v>
      </c>
      <c r="D24" s="14">
        <v>2023</v>
      </c>
      <c r="E24" s="14"/>
      <c r="F24" s="14">
        <v>43.15</v>
      </c>
      <c r="G24" s="14">
        <v>4.3150000000000001E-2</v>
      </c>
      <c r="H24" s="140">
        <v>1605.96549</v>
      </c>
      <c r="I24" s="91">
        <f>64167.266+55</f>
        <v>64222.266000000003</v>
      </c>
      <c r="J24" s="47"/>
      <c r="K24" s="14">
        <v>43.15</v>
      </c>
      <c r="L24" s="167" t="e">
        <f>#REF!+#REF!</f>
        <v>#REF!</v>
      </c>
      <c r="M24" s="91">
        <f t="shared" ref="M24:Y24" si="24">M27+M28</f>
        <v>0</v>
      </c>
      <c r="N24" s="84">
        <f>N25+N26</f>
        <v>0</v>
      </c>
      <c r="O24" s="84">
        <f t="shared" ref="O24:P24" si="25">O25+O26</f>
        <v>0</v>
      </c>
      <c r="P24" s="91">
        <f t="shared" si="25"/>
        <v>0</v>
      </c>
      <c r="Q24" s="84">
        <f>Q25+Q26</f>
        <v>3000</v>
      </c>
      <c r="R24" s="84">
        <f t="shared" ref="R24:S24" si="26">R25+R26</f>
        <v>0</v>
      </c>
      <c r="S24" s="91">
        <f t="shared" si="26"/>
        <v>3000</v>
      </c>
      <c r="T24" s="84">
        <f>T25+T26</f>
        <v>42616.3</v>
      </c>
      <c r="U24" s="84">
        <f t="shared" ref="U24:V24" si="27">U25+U26</f>
        <v>0</v>
      </c>
      <c r="V24" s="91">
        <f t="shared" si="27"/>
        <v>42616.3</v>
      </c>
      <c r="W24" s="84">
        <f t="shared" si="24"/>
        <v>17000</v>
      </c>
      <c r="X24" s="84">
        <f t="shared" si="24"/>
        <v>0</v>
      </c>
      <c r="Y24" s="311">
        <f t="shared" si="24"/>
        <v>17000</v>
      </c>
      <c r="Z24" s="212"/>
      <c r="AA24" s="169"/>
      <c r="AB24" s="224"/>
      <c r="AC24" s="212"/>
      <c r="AD24" s="169"/>
      <c r="AE24" s="224"/>
      <c r="AF24" s="190"/>
      <c r="AG24" s="76"/>
      <c r="AH24" s="96"/>
      <c r="AI24" s="40">
        <f>I24-S24-V24-Y24</f>
        <v>1605.9660000000003</v>
      </c>
      <c r="AJ24" s="300" t="s">
        <v>94</v>
      </c>
    </row>
    <row r="25" spans="1:37" ht="20.25" customHeight="1" x14ac:dyDescent="0.3">
      <c r="A25" s="353"/>
      <c r="B25" s="26" t="s">
        <v>22</v>
      </c>
      <c r="C25" s="27"/>
      <c r="D25" s="28"/>
      <c r="E25" s="28"/>
      <c r="F25" s="28"/>
      <c r="G25" s="28"/>
      <c r="H25" s="138"/>
      <c r="I25" s="92"/>
      <c r="J25" s="34"/>
      <c r="K25" s="28"/>
      <c r="L25" s="19"/>
      <c r="M25" s="92"/>
      <c r="N25" s="85"/>
      <c r="O25" s="35"/>
      <c r="P25" s="92"/>
      <c r="Q25" s="85"/>
      <c r="R25" s="35"/>
      <c r="S25" s="92"/>
      <c r="T25" s="85"/>
      <c r="U25" s="35"/>
      <c r="V25" s="92"/>
      <c r="W25" s="85"/>
      <c r="X25" s="35"/>
      <c r="Y25" s="92"/>
      <c r="Z25" s="198"/>
      <c r="AA25" s="113"/>
      <c r="AB25" s="216"/>
      <c r="AC25" s="198"/>
      <c r="AD25" s="113"/>
      <c r="AE25" s="216"/>
      <c r="AF25" s="189"/>
      <c r="AG25" s="246"/>
      <c r="AH25" s="235"/>
    </row>
    <row r="26" spans="1:37" ht="20.25" customHeight="1" x14ac:dyDescent="0.3">
      <c r="A26" s="353"/>
      <c r="B26" s="6" t="s">
        <v>23</v>
      </c>
      <c r="C26" s="168"/>
      <c r="D26" s="14"/>
      <c r="E26" s="14"/>
      <c r="F26" s="14"/>
      <c r="G26" s="14"/>
      <c r="H26" s="140"/>
      <c r="I26" s="91"/>
      <c r="J26" s="47"/>
      <c r="K26" s="14"/>
      <c r="L26" s="167"/>
      <c r="M26" s="91">
        <f>M27+M28</f>
        <v>0</v>
      </c>
      <c r="O26" s="48"/>
      <c r="P26" s="91">
        <f>N27+N28</f>
        <v>0</v>
      </c>
      <c r="Q26" s="84">
        <f>Q27+Q28</f>
        <v>3000</v>
      </c>
      <c r="R26" s="84">
        <f t="shared" ref="R26:S26" si="28">R27+R28</f>
        <v>0</v>
      </c>
      <c r="S26" s="91">
        <f t="shared" si="28"/>
        <v>3000</v>
      </c>
      <c r="T26" s="84">
        <f>T27+T28</f>
        <v>42616.3</v>
      </c>
      <c r="U26" s="84">
        <f t="shared" ref="U26:V26" si="29">U27+U28</f>
        <v>0</v>
      </c>
      <c r="V26" s="91">
        <f t="shared" si="29"/>
        <v>42616.3</v>
      </c>
      <c r="W26" s="84">
        <f>W28</f>
        <v>17000</v>
      </c>
      <c r="X26" s="84">
        <f t="shared" ref="X26:Y26" si="30">X28</f>
        <v>0</v>
      </c>
      <c r="Y26" s="311">
        <f t="shared" si="30"/>
        <v>17000</v>
      </c>
      <c r="Z26" s="212"/>
      <c r="AA26" s="169"/>
      <c r="AB26" s="224"/>
      <c r="AC26" s="212"/>
      <c r="AD26" s="169"/>
      <c r="AE26" s="224"/>
      <c r="AF26" s="190"/>
      <c r="AG26" s="76"/>
      <c r="AH26" s="96"/>
    </row>
    <row r="27" spans="1:37" ht="19.5" customHeight="1" x14ac:dyDescent="0.3">
      <c r="A27" s="353"/>
      <c r="B27" s="6" t="s">
        <v>35</v>
      </c>
      <c r="C27" s="8"/>
      <c r="D27" s="7"/>
      <c r="E27" s="7"/>
      <c r="F27" s="7"/>
      <c r="G27" s="7"/>
      <c r="H27" s="137"/>
      <c r="I27" s="105"/>
      <c r="J27" s="12"/>
      <c r="K27" s="7"/>
      <c r="L27" s="9"/>
      <c r="M27" s="93">
        <v>0</v>
      </c>
      <c r="N27" s="174"/>
      <c r="O27" s="71"/>
      <c r="P27" s="91">
        <f>N27+O27</f>
        <v>0</v>
      </c>
      <c r="Q27" s="69">
        <v>3000</v>
      </c>
      <c r="R27" s="69"/>
      <c r="S27" s="91">
        <f t="shared" ref="S27:S28" si="31">Q27+R27</f>
        <v>3000</v>
      </c>
      <c r="T27" s="174">
        <v>55</v>
      </c>
      <c r="U27" s="71"/>
      <c r="V27" s="179">
        <f>T27+U27</f>
        <v>55</v>
      </c>
      <c r="W27" s="178"/>
      <c r="X27" s="112"/>
      <c r="Y27" s="184"/>
      <c r="Z27" s="178"/>
      <c r="AA27" s="112"/>
      <c r="AB27" s="184"/>
      <c r="AC27" s="178"/>
      <c r="AD27" s="112"/>
      <c r="AE27" s="184"/>
      <c r="AF27" s="178"/>
      <c r="AG27" s="2"/>
      <c r="AH27" s="96"/>
    </row>
    <row r="28" spans="1:37" ht="19.5" customHeight="1" x14ac:dyDescent="0.3">
      <c r="A28" s="353"/>
      <c r="B28" s="6" t="s">
        <v>36</v>
      </c>
      <c r="C28" s="8"/>
      <c r="D28" s="7"/>
      <c r="E28" s="7"/>
      <c r="F28" s="7"/>
      <c r="G28" s="7"/>
      <c r="H28" s="137"/>
      <c r="I28" s="105"/>
      <c r="J28" s="12"/>
      <c r="K28" s="7"/>
      <c r="L28" s="9"/>
      <c r="M28" s="93">
        <v>0</v>
      </c>
      <c r="N28" s="174">
        <f>38500*1.044+2367.3-42561.3</f>
        <v>0</v>
      </c>
      <c r="O28" s="71"/>
      <c r="P28" s="91">
        <f>N28+O28</f>
        <v>0</v>
      </c>
      <c r="Q28" s="95">
        <f>20000-20000</f>
        <v>0</v>
      </c>
      <c r="R28" s="69"/>
      <c r="S28" s="91">
        <f t="shared" si="31"/>
        <v>0</v>
      </c>
      <c r="T28" s="174">
        <v>42561.3</v>
      </c>
      <c r="U28" s="71"/>
      <c r="V28" s="179">
        <f>T28+U28</f>
        <v>42561.3</v>
      </c>
      <c r="W28" s="112">
        <v>17000</v>
      </c>
      <c r="X28" s="112"/>
      <c r="Y28" s="184">
        <f>W28+X28</f>
        <v>17000</v>
      </c>
      <c r="Z28" s="178"/>
      <c r="AA28" s="112"/>
      <c r="AB28" s="184"/>
      <c r="AC28" s="178"/>
      <c r="AD28" s="112"/>
      <c r="AE28" s="184"/>
      <c r="AF28" s="178"/>
      <c r="AG28" s="2"/>
      <c r="AH28" s="96"/>
    </row>
    <row r="29" spans="1:37" ht="105" customHeight="1" x14ac:dyDescent="0.3">
      <c r="A29" s="346">
        <v>17</v>
      </c>
      <c r="B29" s="317" t="s">
        <v>102</v>
      </c>
      <c r="C29" s="318"/>
      <c r="D29" s="319" t="s">
        <v>52</v>
      </c>
      <c r="E29" s="319">
        <v>2.83</v>
      </c>
      <c r="F29" s="320">
        <v>318</v>
      </c>
      <c r="G29" s="319"/>
      <c r="H29" s="321"/>
      <c r="I29" s="322">
        <v>2860323.6</v>
      </c>
      <c r="J29" s="187"/>
      <c r="K29" s="320"/>
      <c r="L29" s="49"/>
      <c r="M29" s="206">
        <f t="shared" ref="M29:AC29" si="32">M30+M31</f>
        <v>5687.2</v>
      </c>
      <c r="N29" s="187">
        <f t="shared" si="32"/>
        <v>5885.5999999999995</v>
      </c>
      <c r="O29" s="49">
        <f t="shared" si="32"/>
        <v>0</v>
      </c>
      <c r="P29" s="206">
        <f t="shared" si="32"/>
        <v>5885.5999999999995</v>
      </c>
      <c r="Q29" s="187">
        <f t="shared" si="32"/>
        <v>521801.5</v>
      </c>
      <c r="R29" s="49">
        <f t="shared" si="32"/>
        <v>0</v>
      </c>
      <c r="S29" s="206">
        <f t="shared" si="32"/>
        <v>521801.5</v>
      </c>
      <c r="T29" s="187">
        <f t="shared" si="32"/>
        <v>1588540</v>
      </c>
      <c r="U29" s="49">
        <f t="shared" si="32"/>
        <v>0</v>
      </c>
      <c r="V29" s="206">
        <f t="shared" si="32"/>
        <v>1588540</v>
      </c>
      <c r="W29" s="187">
        <f t="shared" si="32"/>
        <v>742953.6</v>
      </c>
      <c r="X29" s="187">
        <f t="shared" si="32"/>
        <v>0</v>
      </c>
      <c r="Y29" s="334">
        <f t="shared" si="32"/>
        <v>742953.6</v>
      </c>
      <c r="Z29" s="187">
        <f t="shared" si="32"/>
        <v>0</v>
      </c>
      <c r="AA29" s="187">
        <f t="shared" si="32"/>
        <v>0</v>
      </c>
      <c r="AB29" s="334">
        <f t="shared" si="32"/>
        <v>0</v>
      </c>
      <c r="AC29" s="187">
        <f t="shared" si="32"/>
        <v>0</v>
      </c>
      <c r="AD29" s="49"/>
      <c r="AE29" s="206"/>
      <c r="AF29" s="327"/>
      <c r="AG29" s="335"/>
      <c r="AH29" s="336"/>
      <c r="AI29" s="40">
        <f>I29-P29-S29-V29-Y29-AB29</f>
        <v>1142.9000000000233</v>
      </c>
      <c r="AJ29" s="300">
        <v>1142.88967</v>
      </c>
      <c r="AK29" s="300" t="s">
        <v>103</v>
      </c>
    </row>
    <row r="30" spans="1:37" s="58" customFormat="1" ht="21.75" customHeight="1" x14ac:dyDescent="0.3">
      <c r="A30" s="60"/>
      <c r="B30" s="57" t="s">
        <v>20</v>
      </c>
      <c r="C30" s="33"/>
      <c r="D30" s="28"/>
      <c r="E30" s="28"/>
      <c r="F30" s="34"/>
      <c r="G30" s="28"/>
      <c r="H30" s="138"/>
      <c r="I30" s="92"/>
      <c r="J30" s="85"/>
      <c r="K30" s="34"/>
      <c r="L30" s="35"/>
      <c r="M30" s="92">
        <v>0</v>
      </c>
      <c r="N30" s="35">
        <f>N33</f>
        <v>0</v>
      </c>
      <c r="O30" s="35">
        <f>O33</f>
        <v>0</v>
      </c>
      <c r="P30" s="92">
        <f>N30+O30</f>
        <v>0</v>
      </c>
      <c r="Q30" s="35">
        <f>450000+21801.5</f>
        <v>471801.5</v>
      </c>
      <c r="R30" s="35"/>
      <c r="S30" s="92">
        <f>Q30+R30</f>
        <v>471801.5</v>
      </c>
      <c r="T30" s="189">
        <f>318200+1111486</f>
        <v>1429686</v>
      </c>
      <c r="U30" s="37"/>
      <c r="V30" s="203">
        <f>T30+U30</f>
        <v>1429686</v>
      </c>
      <c r="W30" s="189">
        <f>391811.9+276846.3</f>
        <v>668658.19999999995</v>
      </c>
      <c r="X30" s="37"/>
      <c r="Y30" s="203">
        <f>W30+X30</f>
        <v>668658.19999999995</v>
      </c>
      <c r="Z30" s="189">
        <f>514080.1-46600-467480.1</f>
        <v>0</v>
      </c>
      <c r="AA30" s="37"/>
      <c r="AB30" s="203">
        <f>Z30+AA30</f>
        <v>0</v>
      </c>
      <c r="AC30" s="198"/>
      <c r="AD30" s="113"/>
      <c r="AE30" s="216"/>
      <c r="AF30" s="198"/>
      <c r="AG30" s="198"/>
      <c r="AH30" s="216"/>
    </row>
    <row r="31" spans="1:37" ht="22.5" customHeight="1" x14ac:dyDescent="0.3">
      <c r="A31" s="59"/>
      <c r="B31" s="3" t="s">
        <v>21</v>
      </c>
      <c r="C31" s="46"/>
      <c r="D31" s="14"/>
      <c r="E31" s="14"/>
      <c r="F31" s="47"/>
      <c r="G31" s="14"/>
      <c r="H31" s="140"/>
      <c r="I31" s="91"/>
      <c r="J31" s="84"/>
      <c r="K31" s="47"/>
      <c r="L31" s="48"/>
      <c r="M31" s="91">
        <f t="shared" ref="M31" si="33">M32</f>
        <v>5687.2</v>
      </c>
      <c r="N31" s="84">
        <f>N32</f>
        <v>5885.5999999999995</v>
      </c>
      <c r="O31" s="48">
        <f>O32</f>
        <v>0</v>
      </c>
      <c r="P31" s="91">
        <f>N31+O31</f>
        <v>5885.5999999999995</v>
      </c>
      <c r="Q31" s="84">
        <f>Q32+27300</f>
        <v>50000</v>
      </c>
      <c r="R31" s="48"/>
      <c r="S31" s="91">
        <f>Q31+R31</f>
        <v>50000</v>
      </c>
      <c r="T31" s="190">
        <f>31800+127054</f>
        <v>158854</v>
      </c>
      <c r="U31" s="50"/>
      <c r="V31" s="204">
        <f>T31+U31</f>
        <v>158854</v>
      </c>
      <c r="W31" s="197">
        <f>39108+35187.4</f>
        <v>74295.399999999994</v>
      </c>
      <c r="X31" s="111"/>
      <c r="Y31" s="215">
        <f>W31+X31</f>
        <v>74295.399999999994</v>
      </c>
      <c r="Z31" s="197">
        <f>46600-70.4-20198.4-26331.2</f>
        <v>0</v>
      </c>
      <c r="AA31" s="111"/>
      <c r="AB31" s="215">
        <f>Z31+AA31</f>
        <v>0</v>
      </c>
      <c r="AC31" s="178"/>
      <c r="AD31" s="112"/>
      <c r="AE31" s="184"/>
      <c r="AF31" s="178"/>
      <c r="AG31" s="2"/>
      <c r="AH31" s="96"/>
    </row>
    <row r="32" spans="1:37" ht="21.75" customHeight="1" x14ac:dyDescent="0.3">
      <c r="A32" s="59"/>
      <c r="B32" s="6" t="s">
        <v>35</v>
      </c>
      <c r="C32" s="46"/>
      <c r="D32" s="14"/>
      <c r="E32" s="14"/>
      <c r="F32" s="47"/>
      <c r="G32" s="14"/>
      <c r="H32" s="140"/>
      <c r="I32" s="91"/>
      <c r="J32" s="84"/>
      <c r="K32" s="47"/>
      <c r="L32" s="48"/>
      <c r="M32" s="91">
        <v>5687.2</v>
      </c>
      <c r="N32" s="84">
        <f>198.4+5687.2</f>
        <v>5885.5999999999995</v>
      </c>
      <c r="O32" s="48"/>
      <c r="P32" s="91">
        <f t="shared" ref="P32:P33" si="34">N32+O32</f>
        <v>5885.5999999999995</v>
      </c>
      <c r="Q32" s="84">
        <f>20000+2700</f>
        <v>22700</v>
      </c>
      <c r="R32" s="48"/>
      <c r="S32" s="91">
        <f t="shared" ref="S32:S33" si="35">Q32+R32</f>
        <v>22700</v>
      </c>
      <c r="T32" s="190"/>
      <c r="U32" s="50"/>
      <c r="V32" s="204"/>
      <c r="W32" s="178"/>
      <c r="X32" s="112"/>
      <c r="Y32" s="184"/>
      <c r="Z32" s="178"/>
      <c r="AA32" s="112"/>
      <c r="AB32" s="184"/>
      <c r="AC32" s="178"/>
      <c r="AD32" s="112"/>
      <c r="AE32" s="184"/>
      <c r="AF32" s="178"/>
      <c r="AG32" s="2"/>
      <c r="AH32" s="96"/>
    </row>
    <row r="33" spans="1:35" ht="46.5" customHeight="1" x14ac:dyDescent="0.3">
      <c r="A33" s="59"/>
      <c r="B33" s="6" t="s">
        <v>131</v>
      </c>
      <c r="C33" s="46"/>
      <c r="D33" s="14"/>
      <c r="E33" s="14"/>
      <c r="F33" s="47"/>
      <c r="G33" s="14"/>
      <c r="H33" s="140"/>
      <c r="I33" s="91"/>
      <c r="J33" s="84"/>
      <c r="K33" s="47"/>
      <c r="L33" s="48"/>
      <c r="M33" s="91">
        <v>0</v>
      </c>
      <c r="N33" s="48">
        <f>22000-198.5-21801.5</f>
        <v>0</v>
      </c>
      <c r="O33" s="48"/>
      <c r="P33" s="91">
        <f t="shared" si="34"/>
        <v>0</v>
      </c>
      <c r="Q33" s="48">
        <f>477300+21801.5</f>
        <v>499101.5</v>
      </c>
      <c r="R33" s="48"/>
      <c r="S33" s="91">
        <f t="shared" si="35"/>
        <v>499101.5</v>
      </c>
      <c r="T33" s="84">
        <f>350000+1238540</f>
        <v>1588540</v>
      </c>
      <c r="U33" s="48"/>
      <c r="V33" s="91">
        <f>T33+U33</f>
        <v>1588540</v>
      </c>
      <c r="W33" s="197">
        <f>430919.9+312033.7</f>
        <v>742953.60000000009</v>
      </c>
      <c r="X33" s="111"/>
      <c r="Y33" s="215">
        <f>W33+X33</f>
        <v>742953.60000000009</v>
      </c>
      <c r="Z33" s="197">
        <f>493811.3-493811.3</f>
        <v>0</v>
      </c>
      <c r="AA33" s="111"/>
      <c r="AB33" s="215">
        <f>Z33+AA33</f>
        <v>0</v>
      </c>
      <c r="AC33" s="178"/>
      <c r="AD33" s="112"/>
      <c r="AE33" s="184"/>
      <c r="AF33" s="178"/>
      <c r="AG33" s="2"/>
      <c r="AH33" s="96"/>
    </row>
    <row r="34" spans="1:35" s="58" customFormat="1" ht="90.75" customHeight="1" x14ac:dyDescent="0.3">
      <c r="A34" s="236"/>
      <c r="B34" s="317" t="s">
        <v>59</v>
      </c>
      <c r="C34" s="318"/>
      <c r="D34" s="319" t="s">
        <v>48</v>
      </c>
      <c r="E34" s="319">
        <v>2.5</v>
      </c>
      <c r="F34" s="320"/>
      <c r="G34" s="319"/>
      <c r="H34" s="321"/>
      <c r="I34" s="322">
        <v>1768282</v>
      </c>
      <c r="J34" s="187"/>
      <c r="K34" s="320"/>
      <c r="L34" s="49"/>
      <c r="M34" s="206"/>
      <c r="N34" s="187">
        <f t="shared" ref="N34:Y34" si="36">N35+N36</f>
        <v>0</v>
      </c>
      <c r="O34" s="49">
        <f t="shared" si="36"/>
        <v>0</v>
      </c>
      <c r="P34" s="206">
        <f t="shared" si="36"/>
        <v>0</v>
      </c>
      <c r="Q34" s="323">
        <f t="shared" si="36"/>
        <v>55446</v>
      </c>
      <c r="R34" s="324">
        <f t="shared" si="36"/>
        <v>0</v>
      </c>
      <c r="S34" s="325">
        <f t="shared" si="36"/>
        <v>55446</v>
      </c>
      <c r="T34" s="323">
        <f t="shared" si="36"/>
        <v>0</v>
      </c>
      <c r="U34" s="324">
        <f t="shared" si="36"/>
        <v>0</v>
      </c>
      <c r="V34" s="325">
        <f t="shared" si="36"/>
        <v>0</v>
      </c>
      <c r="W34" s="323">
        <f t="shared" si="36"/>
        <v>574236</v>
      </c>
      <c r="X34" s="323">
        <f t="shared" si="36"/>
        <v>0</v>
      </c>
      <c r="Y34" s="326">
        <f t="shared" si="36"/>
        <v>574236</v>
      </c>
      <c r="Z34" s="327">
        <f>Z35+Z36</f>
        <v>850000</v>
      </c>
      <c r="AA34" s="327">
        <f t="shared" ref="AA34:AB34" si="37">AA35+AA36</f>
        <v>0</v>
      </c>
      <c r="AB34" s="328">
        <f t="shared" si="37"/>
        <v>850000</v>
      </c>
      <c r="AC34" s="329"/>
      <c r="AD34" s="330"/>
      <c r="AE34" s="331"/>
      <c r="AF34" s="329"/>
      <c r="AG34" s="332"/>
      <c r="AH34" s="333"/>
      <c r="AI34" s="301">
        <f>I34-P34-S34-V34-Y34-AB34</f>
        <v>288600</v>
      </c>
    </row>
    <row r="35" spans="1:35" s="133" customFormat="1" ht="21" customHeight="1" x14ac:dyDescent="0.3">
      <c r="A35" s="60"/>
      <c r="B35" s="57" t="s">
        <v>20</v>
      </c>
      <c r="C35" s="33"/>
      <c r="D35" s="28"/>
      <c r="E35" s="28"/>
      <c r="F35" s="34"/>
      <c r="G35" s="28"/>
      <c r="H35" s="138"/>
      <c r="I35" s="92"/>
      <c r="J35" s="85"/>
      <c r="K35" s="34"/>
      <c r="L35" s="35"/>
      <c r="M35" s="92"/>
      <c r="N35" s="35">
        <f>N38</f>
        <v>0</v>
      </c>
      <c r="O35" s="35">
        <f>O38</f>
        <v>0</v>
      </c>
      <c r="P35" s="35">
        <f>P38</f>
        <v>0</v>
      </c>
      <c r="Q35" s="186">
        <f>Q38</f>
        <v>0</v>
      </c>
      <c r="R35" s="186">
        <f t="shared" ref="R35:S35" si="38">R38</f>
        <v>0</v>
      </c>
      <c r="S35" s="296">
        <f t="shared" si="38"/>
        <v>0</v>
      </c>
      <c r="T35" s="189">
        <f>700000-700000</f>
        <v>0</v>
      </c>
      <c r="U35" s="37"/>
      <c r="V35" s="203">
        <f>T35+U35</f>
        <v>0</v>
      </c>
      <c r="W35" s="189">
        <f>274236+300000</f>
        <v>574236</v>
      </c>
      <c r="X35" s="37"/>
      <c r="Y35" s="203">
        <f>W35+X35</f>
        <v>574236</v>
      </c>
      <c r="Z35" s="37">
        <v>850000</v>
      </c>
      <c r="AA35" s="37"/>
      <c r="AB35" s="203">
        <f>Z35+AA35</f>
        <v>850000</v>
      </c>
      <c r="AC35" s="198"/>
      <c r="AD35" s="113"/>
      <c r="AE35" s="216"/>
      <c r="AF35" s="198"/>
      <c r="AG35" s="232"/>
      <c r="AH35" s="235"/>
    </row>
    <row r="36" spans="1:35" ht="21" customHeight="1" x14ac:dyDescent="0.3">
      <c r="A36" s="59"/>
      <c r="B36" s="3" t="s">
        <v>21</v>
      </c>
      <c r="C36" s="46"/>
      <c r="D36" s="14"/>
      <c r="E36" s="14"/>
      <c r="F36" s="47"/>
      <c r="G36" s="14"/>
      <c r="H36" s="140"/>
      <c r="I36" s="91"/>
      <c r="J36" s="84"/>
      <c r="K36" s="47"/>
      <c r="L36" s="48"/>
      <c r="M36" s="91"/>
      <c r="N36" s="84">
        <f t="shared" ref="N36:S36" si="39">N37</f>
        <v>0</v>
      </c>
      <c r="O36" s="48">
        <f t="shared" si="39"/>
        <v>0</v>
      </c>
      <c r="P36" s="91">
        <f t="shared" si="39"/>
        <v>0</v>
      </c>
      <c r="Q36" s="185">
        <f t="shared" si="39"/>
        <v>55446</v>
      </c>
      <c r="R36" s="121">
        <f t="shared" si="39"/>
        <v>0</v>
      </c>
      <c r="S36" s="196">
        <f t="shared" si="39"/>
        <v>55446</v>
      </c>
      <c r="T36" s="190"/>
      <c r="U36" s="50"/>
      <c r="V36" s="204"/>
      <c r="W36" s="197"/>
      <c r="X36" s="111"/>
      <c r="Y36" s="215"/>
      <c r="Z36" s="197"/>
      <c r="AA36" s="111"/>
      <c r="AB36" s="215"/>
      <c r="AC36" s="178"/>
      <c r="AD36" s="112"/>
      <c r="AE36" s="184"/>
      <c r="AF36" s="178"/>
      <c r="AG36" s="2"/>
      <c r="AH36" s="96"/>
    </row>
    <row r="37" spans="1:35" ht="21" customHeight="1" x14ac:dyDescent="0.3">
      <c r="A37" s="59"/>
      <c r="B37" s="6" t="s">
        <v>35</v>
      </c>
      <c r="C37" s="46"/>
      <c r="D37" s="14"/>
      <c r="E37" s="14"/>
      <c r="F37" s="47"/>
      <c r="G37" s="14"/>
      <c r="H37" s="140"/>
      <c r="I37" s="91"/>
      <c r="J37" s="84"/>
      <c r="K37" s="47"/>
      <c r="L37" s="48"/>
      <c r="M37" s="91"/>
      <c r="N37" s="84">
        <f>25682-9430-16252</f>
        <v>0</v>
      </c>
      <c r="O37" s="48"/>
      <c r="P37" s="91">
        <f>N37+O37</f>
        <v>0</v>
      </c>
      <c r="Q37" s="185">
        <f>29764+9430+16252</f>
        <v>55446</v>
      </c>
      <c r="R37" s="121"/>
      <c r="S37" s="91">
        <f>Q37+R37</f>
        <v>55446</v>
      </c>
      <c r="T37" s="190"/>
      <c r="U37" s="50"/>
      <c r="V37" s="204"/>
      <c r="W37" s="197"/>
      <c r="X37" s="111"/>
      <c r="Y37" s="215"/>
      <c r="Z37" s="197"/>
      <c r="AA37" s="111"/>
      <c r="AB37" s="215"/>
      <c r="AC37" s="178"/>
      <c r="AD37" s="112"/>
      <c r="AE37" s="184"/>
      <c r="AF37" s="178"/>
      <c r="AG37" s="2"/>
      <c r="AH37" s="96"/>
    </row>
    <row r="38" spans="1:35" ht="34.5" customHeight="1" x14ac:dyDescent="0.3">
      <c r="A38" s="59"/>
      <c r="B38" s="6" t="s">
        <v>101</v>
      </c>
      <c r="C38" s="46"/>
      <c r="D38" s="14"/>
      <c r="E38" s="14"/>
      <c r="F38" s="47"/>
      <c r="G38" s="14"/>
      <c r="H38" s="140"/>
      <c r="I38" s="91"/>
      <c r="J38" s="84"/>
      <c r="K38" s="47"/>
      <c r="L38" s="48"/>
      <c r="M38" s="91"/>
      <c r="N38" s="84"/>
      <c r="O38" s="48"/>
      <c r="P38" s="91">
        <f>O38+N38</f>
        <v>0</v>
      </c>
      <c r="Q38" s="185">
        <f>450000-450000</f>
        <v>0</v>
      </c>
      <c r="R38" s="121"/>
      <c r="S38" s="91">
        <f>Q38+R38</f>
        <v>0</v>
      </c>
      <c r="T38" s="190"/>
      <c r="U38" s="50"/>
      <c r="V38" s="204"/>
      <c r="W38" s="197">
        <f>274236+300000</f>
        <v>574236</v>
      </c>
      <c r="X38" s="111"/>
      <c r="Y38" s="215">
        <f>W38+X38</f>
        <v>574236</v>
      </c>
      <c r="Z38" s="111">
        <v>850000</v>
      </c>
      <c r="AA38" s="111"/>
      <c r="AB38" s="215">
        <f>Z38+AA38</f>
        <v>850000</v>
      </c>
      <c r="AC38" s="178"/>
      <c r="AD38" s="112"/>
      <c r="AE38" s="184"/>
      <c r="AF38" s="178"/>
      <c r="AG38" s="2"/>
      <c r="AH38" s="96"/>
    </row>
    <row r="39" spans="1:35" ht="119.25" customHeight="1" x14ac:dyDescent="0.3">
      <c r="A39" s="59">
        <v>19</v>
      </c>
      <c r="B39" s="43" t="s">
        <v>55</v>
      </c>
      <c r="C39" s="46"/>
      <c r="D39" s="14" t="s">
        <v>49</v>
      </c>
      <c r="E39" s="14">
        <v>19.8</v>
      </c>
      <c r="F39" s="47"/>
      <c r="G39" s="14"/>
      <c r="H39" s="140"/>
      <c r="I39" s="170">
        <v>1572854.8</v>
      </c>
      <c r="J39" s="84"/>
      <c r="K39" s="47"/>
      <c r="L39" s="48"/>
      <c r="M39" s="91">
        <f t="shared" ref="M39:AB39" si="40">M40+M41</f>
        <v>0</v>
      </c>
      <c r="N39" s="84">
        <f t="shared" si="40"/>
        <v>0</v>
      </c>
      <c r="O39" s="48">
        <f t="shared" si="40"/>
        <v>0</v>
      </c>
      <c r="P39" s="91">
        <f t="shared" si="40"/>
        <v>0</v>
      </c>
      <c r="Q39" s="84">
        <f t="shared" si="40"/>
        <v>17017.599999999999</v>
      </c>
      <c r="R39" s="48">
        <f t="shared" si="40"/>
        <v>0</v>
      </c>
      <c r="S39" s="91">
        <f t="shared" ref="S39" si="41">Q39+R39</f>
        <v>17017.599999999999</v>
      </c>
      <c r="T39" s="84">
        <f t="shared" si="40"/>
        <v>0</v>
      </c>
      <c r="U39" s="48">
        <f t="shared" si="40"/>
        <v>0</v>
      </c>
      <c r="V39" s="91">
        <f t="shared" si="40"/>
        <v>0</v>
      </c>
      <c r="W39" s="84">
        <f t="shared" si="40"/>
        <v>502767.6</v>
      </c>
      <c r="X39" s="84">
        <f t="shared" si="40"/>
        <v>0</v>
      </c>
      <c r="Y39" s="311">
        <f t="shared" si="40"/>
        <v>502767.6</v>
      </c>
      <c r="Z39" s="84">
        <f t="shared" si="40"/>
        <v>371232.4</v>
      </c>
      <c r="AA39" s="84">
        <f t="shared" si="40"/>
        <v>0</v>
      </c>
      <c r="AB39" s="311">
        <f t="shared" si="40"/>
        <v>371232.4</v>
      </c>
      <c r="AC39" s="190">
        <f>AC40+AC41</f>
        <v>401815.7</v>
      </c>
      <c r="AD39" s="190">
        <f t="shared" ref="AD39:AE39" si="42">AD40+AD41</f>
        <v>0</v>
      </c>
      <c r="AE39" s="312">
        <f t="shared" si="42"/>
        <v>401815.7</v>
      </c>
      <c r="AF39" s="190"/>
      <c r="AG39" s="76"/>
      <c r="AH39" s="96"/>
      <c r="AI39" s="40">
        <f>I39-S39-V39-Y39-AB39-AE39</f>
        <v>280021.50000000006</v>
      </c>
    </row>
    <row r="40" spans="1:35" s="58" customFormat="1" ht="30.75" customHeight="1" x14ac:dyDescent="0.3">
      <c r="A40" s="60"/>
      <c r="B40" s="57" t="s">
        <v>20</v>
      </c>
      <c r="C40" s="33"/>
      <c r="D40" s="28"/>
      <c r="E40" s="28"/>
      <c r="F40" s="34"/>
      <c r="G40" s="28"/>
      <c r="H40" s="138"/>
      <c r="I40" s="92"/>
      <c r="J40" s="85"/>
      <c r="K40" s="34"/>
      <c r="L40" s="35"/>
      <c r="M40" s="92">
        <v>0</v>
      </c>
      <c r="N40" s="85"/>
      <c r="O40" s="35"/>
      <c r="P40" s="92">
        <f>N40+O40</f>
        <v>0</v>
      </c>
      <c r="Q40" s="85"/>
      <c r="R40" s="35"/>
      <c r="S40" s="92">
        <f>Q40+R40</f>
        <v>0</v>
      </c>
      <c r="T40" s="189">
        <f>400000-400000</f>
        <v>0</v>
      </c>
      <c r="U40" s="37"/>
      <c r="V40" s="203">
        <f>T40+U40</f>
        <v>0</v>
      </c>
      <c r="W40" s="189">
        <v>502767.6</v>
      </c>
      <c r="X40" s="37"/>
      <c r="Y40" s="203">
        <f>W40+X40</f>
        <v>502767.6</v>
      </c>
      <c r="Z40" s="189">
        <f>371882.4-650</f>
        <v>371232.4</v>
      </c>
      <c r="AA40" s="37"/>
      <c r="AB40" s="203">
        <f>Z40+AA40</f>
        <v>371232.4</v>
      </c>
      <c r="AC40" s="37">
        <v>401815.7</v>
      </c>
      <c r="AD40" s="37"/>
      <c r="AE40" s="203">
        <f>AC40+AD40</f>
        <v>401815.7</v>
      </c>
      <c r="AF40" s="198"/>
      <c r="AG40" s="198"/>
      <c r="AH40" s="216"/>
    </row>
    <row r="41" spans="1:35" ht="21" customHeight="1" x14ac:dyDescent="0.3">
      <c r="A41" s="59"/>
      <c r="B41" s="3" t="s">
        <v>21</v>
      </c>
      <c r="C41" s="46"/>
      <c r="D41" s="14"/>
      <c r="E41" s="14"/>
      <c r="F41" s="47"/>
      <c r="G41" s="14"/>
      <c r="H41" s="140"/>
      <c r="I41" s="91"/>
      <c r="J41" s="84"/>
      <c r="K41" s="47"/>
      <c r="L41" s="48"/>
      <c r="M41" s="91">
        <f t="shared" ref="M41" si="43">M42</f>
        <v>0</v>
      </c>
      <c r="N41" s="84">
        <f>N42+N43</f>
        <v>0</v>
      </c>
      <c r="O41" s="48">
        <f t="shared" ref="O41:P41" si="44">O42+O43</f>
        <v>0</v>
      </c>
      <c r="P41" s="91">
        <f t="shared" si="44"/>
        <v>0</v>
      </c>
      <c r="Q41" s="84">
        <v>17017.599999999999</v>
      </c>
      <c r="R41" s="48"/>
      <c r="S41" s="91">
        <f>Q41+R41</f>
        <v>17017.599999999999</v>
      </c>
      <c r="T41" s="190"/>
      <c r="U41" s="50"/>
      <c r="V41" s="204"/>
      <c r="W41" s="178"/>
      <c r="X41" s="112"/>
      <c r="Y41" s="184"/>
      <c r="Z41" s="178"/>
      <c r="AA41" s="112"/>
      <c r="AB41" s="184"/>
      <c r="AC41" s="178"/>
      <c r="AD41" s="112"/>
      <c r="AE41" s="184"/>
      <c r="AF41" s="178"/>
      <c r="AG41" s="2"/>
      <c r="AH41" s="96"/>
    </row>
    <row r="42" spans="1:35" ht="21" customHeight="1" x14ac:dyDescent="0.3">
      <c r="A42" s="59"/>
      <c r="B42" s="6" t="s">
        <v>35</v>
      </c>
      <c r="C42" s="46"/>
      <c r="D42" s="14"/>
      <c r="E42" s="14"/>
      <c r="F42" s="47"/>
      <c r="G42" s="14"/>
      <c r="H42" s="140"/>
      <c r="I42" s="91"/>
      <c r="J42" s="84"/>
      <c r="K42" s="47"/>
      <c r="L42" s="48"/>
      <c r="M42" s="91">
        <v>0</v>
      </c>
      <c r="N42" s="84">
        <f>650-650</f>
        <v>0</v>
      </c>
      <c r="O42" s="48"/>
      <c r="P42" s="91">
        <f>N42+O42</f>
        <v>0</v>
      </c>
      <c r="Q42" s="84">
        <v>17017.599999999999</v>
      </c>
      <c r="R42" s="48"/>
      <c r="S42" s="91">
        <f t="shared" ref="S42:S44" si="45">Q42+R42</f>
        <v>17017.599999999999</v>
      </c>
      <c r="T42" s="190"/>
      <c r="U42" s="50"/>
      <c r="V42" s="204"/>
      <c r="W42" s="178"/>
      <c r="X42" s="112"/>
      <c r="Y42" s="184"/>
      <c r="Z42" s="178"/>
      <c r="AA42" s="112"/>
      <c r="AB42" s="184"/>
      <c r="AC42" s="178"/>
      <c r="AD42" s="112"/>
      <c r="AE42" s="184"/>
      <c r="AF42" s="178"/>
      <c r="AG42" s="2"/>
      <c r="AH42" s="96"/>
    </row>
    <row r="43" spans="1:35" ht="21" customHeight="1" x14ac:dyDescent="0.3">
      <c r="A43" s="59"/>
      <c r="B43" s="6" t="s">
        <v>36</v>
      </c>
      <c r="C43" s="46"/>
      <c r="D43" s="14"/>
      <c r="E43" s="14"/>
      <c r="F43" s="47"/>
      <c r="G43" s="14"/>
      <c r="H43" s="140"/>
      <c r="I43" s="91"/>
      <c r="J43" s="84"/>
      <c r="K43" s="47"/>
      <c r="L43" s="48"/>
      <c r="M43" s="91">
        <v>0</v>
      </c>
      <c r="N43" s="84"/>
      <c r="O43" s="48"/>
      <c r="P43" s="91"/>
      <c r="Q43" s="84"/>
      <c r="R43" s="48"/>
      <c r="S43" s="91">
        <f t="shared" si="45"/>
        <v>0</v>
      </c>
      <c r="T43" s="190">
        <f>400000-400000</f>
        <v>0</v>
      </c>
      <c r="U43" s="50"/>
      <c r="V43" s="204">
        <f>T43+U43</f>
        <v>0</v>
      </c>
      <c r="W43" s="197">
        <v>502767.6</v>
      </c>
      <c r="X43" s="111"/>
      <c r="Y43" s="215">
        <f>W43+X43</f>
        <v>502767.6</v>
      </c>
      <c r="Z43" s="197">
        <f>371882.4-650</f>
        <v>371232.4</v>
      </c>
      <c r="AA43" s="111"/>
      <c r="AB43" s="215">
        <f>Z43+AA43</f>
        <v>371232.4</v>
      </c>
      <c r="AC43" s="112">
        <v>401815.7</v>
      </c>
      <c r="AD43" s="112"/>
      <c r="AE43" s="184">
        <f>AC43+AD43</f>
        <v>401815.7</v>
      </c>
      <c r="AF43" s="178"/>
      <c r="AG43" s="2"/>
      <c r="AH43" s="96"/>
    </row>
    <row r="44" spans="1:35" ht="111.6" customHeight="1" x14ac:dyDescent="0.3">
      <c r="A44" s="59">
        <v>20</v>
      </c>
      <c r="B44" s="6" t="s">
        <v>38</v>
      </c>
      <c r="C44" s="46"/>
      <c r="D44" s="14" t="s">
        <v>50</v>
      </c>
      <c r="E44" s="14">
        <v>8.5</v>
      </c>
      <c r="F44" s="47"/>
      <c r="G44" s="14"/>
      <c r="H44" s="140"/>
      <c r="I44" s="91">
        <f>403800+1568.3+5075.1</f>
        <v>410443.39999999997</v>
      </c>
      <c r="J44" s="84"/>
      <c r="K44" s="47"/>
      <c r="L44" s="48"/>
      <c r="M44" s="91"/>
      <c r="N44" s="84"/>
      <c r="O44" s="48"/>
      <c r="P44" s="91"/>
      <c r="Q44" s="84">
        <f>Q45+Q46</f>
        <v>0</v>
      </c>
      <c r="R44" s="48"/>
      <c r="S44" s="91">
        <f t="shared" si="45"/>
        <v>0</v>
      </c>
      <c r="T44" s="84">
        <f>T45+T46</f>
        <v>0</v>
      </c>
      <c r="U44" s="48"/>
      <c r="V44" s="91"/>
      <c r="W44" s="84">
        <f t="shared" ref="W44:AH44" si="46">W45+W46</f>
        <v>1568.3</v>
      </c>
      <c r="X44" s="84">
        <f t="shared" si="46"/>
        <v>0</v>
      </c>
      <c r="Y44" s="91">
        <f t="shared" si="46"/>
        <v>1568.3</v>
      </c>
      <c r="Z44" s="84">
        <f t="shared" si="46"/>
        <v>5075.1000000000004</v>
      </c>
      <c r="AA44" s="84">
        <f t="shared" si="46"/>
        <v>0</v>
      </c>
      <c r="AB44" s="91">
        <f t="shared" si="46"/>
        <v>5075.1000000000004</v>
      </c>
      <c r="AC44" s="84">
        <f t="shared" si="46"/>
        <v>200000</v>
      </c>
      <c r="AD44" s="84">
        <f t="shared" si="46"/>
        <v>0</v>
      </c>
      <c r="AE44" s="91">
        <f t="shared" si="46"/>
        <v>200000</v>
      </c>
      <c r="AF44" s="84">
        <f t="shared" si="46"/>
        <v>203800</v>
      </c>
      <c r="AG44" s="84">
        <f t="shared" si="46"/>
        <v>0</v>
      </c>
      <c r="AH44" s="91">
        <f t="shared" si="46"/>
        <v>203800</v>
      </c>
      <c r="AI44" s="40">
        <f>I44-M44-P44-S44-V44-Y44-AB44-AE44-AH44</f>
        <v>0</v>
      </c>
    </row>
    <row r="45" spans="1:35" s="58" customFormat="1" ht="24" customHeight="1" x14ac:dyDescent="0.3">
      <c r="A45" s="60"/>
      <c r="B45" s="57" t="s">
        <v>20</v>
      </c>
      <c r="C45" s="33"/>
      <c r="D45" s="28"/>
      <c r="E45" s="28"/>
      <c r="F45" s="34"/>
      <c r="G45" s="28"/>
      <c r="H45" s="138"/>
      <c r="I45" s="92"/>
      <c r="J45" s="85"/>
      <c r="K45" s="34"/>
      <c r="L45" s="35"/>
      <c r="M45" s="92"/>
      <c r="N45" s="85"/>
      <c r="O45" s="35"/>
      <c r="P45" s="92"/>
      <c r="Q45" s="85"/>
      <c r="R45" s="35"/>
      <c r="S45" s="92">
        <f>Q45+R45</f>
        <v>0</v>
      </c>
      <c r="T45" s="189"/>
      <c r="U45" s="37"/>
      <c r="V45" s="203"/>
      <c r="W45" s="189"/>
      <c r="X45" s="37"/>
      <c r="Y45" s="203"/>
      <c r="Z45" s="189"/>
      <c r="AA45" s="37"/>
      <c r="AB45" s="203"/>
      <c r="AC45" s="189">
        <f>AC48</f>
        <v>200000</v>
      </c>
      <c r="AD45" s="189">
        <f t="shared" ref="AD45:AE45" si="47">AD48</f>
        <v>0</v>
      </c>
      <c r="AE45" s="203">
        <f t="shared" si="47"/>
        <v>200000</v>
      </c>
      <c r="AF45" s="189">
        <f>AF48</f>
        <v>203800</v>
      </c>
      <c r="AG45" s="189">
        <f t="shared" ref="AG45:AH45" si="48">AG48</f>
        <v>0</v>
      </c>
      <c r="AH45" s="203">
        <f t="shared" si="48"/>
        <v>203800</v>
      </c>
    </row>
    <row r="46" spans="1:35" ht="20.25" customHeight="1" x14ac:dyDescent="0.3">
      <c r="A46" s="59"/>
      <c r="B46" s="3" t="s">
        <v>21</v>
      </c>
      <c r="C46" s="46"/>
      <c r="D46" s="14"/>
      <c r="E46" s="14"/>
      <c r="F46" s="47"/>
      <c r="G46" s="14"/>
      <c r="H46" s="140"/>
      <c r="I46" s="91"/>
      <c r="J46" s="84"/>
      <c r="K46" s="47"/>
      <c r="L46" s="48"/>
      <c r="M46" s="91"/>
      <c r="N46" s="84"/>
      <c r="O46" s="48"/>
      <c r="P46" s="91"/>
      <c r="Q46" s="84"/>
      <c r="R46" s="48"/>
      <c r="S46" s="91">
        <f>Q46+R46</f>
        <v>0</v>
      </c>
      <c r="T46" s="84"/>
      <c r="U46" s="48"/>
      <c r="V46" s="91"/>
      <c r="W46" s="84">
        <f>W47</f>
        <v>1568.3</v>
      </c>
      <c r="X46" s="84">
        <f t="shared" ref="X46:Y46" si="49">X47</f>
        <v>0</v>
      </c>
      <c r="Y46" s="91">
        <f t="shared" si="49"/>
        <v>1568.3</v>
      </c>
      <c r="Z46" s="190">
        <f>Z47</f>
        <v>5075.1000000000004</v>
      </c>
      <c r="AA46" s="190">
        <f t="shared" ref="AA46:AB46" si="50">AA47</f>
        <v>0</v>
      </c>
      <c r="AB46" s="204">
        <f t="shared" si="50"/>
        <v>5075.1000000000004</v>
      </c>
      <c r="AC46" s="190"/>
      <c r="AD46" s="50"/>
      <c r="AE46" s="204"/>
      <c r="AF46" s="178"/>
      <c r="AG46" s="2"/>
      <c r="AH46" s="96"/>
    </row>
    <row r="47" spans="1:35" ht="21" customHeight="1" x14ac:dyDescent="0.3">
      <c r="A47" s="59"/>
      <c r="B47" s="6" t="s">
        <v>35</v>
      </c>
      <c r="C47" s="46"/>
      <c r="D47" s="14"/>
      <c r="E47" s="14"/>
      <c r="F47" s="47"/>
      <c r="G47" s="14"/>
      <c r="H47" s="140"/>
      <c r="I47" s="91"/>
      <c r="J47" s="84"/>
      <c r="K47" s="47"/>
      <c r="L47" s="48"/>
      <c r="M47" s="91"/>
      <c r="N47" s="84"/>
      <c r="O47" s="48"/>
      <c r="P47" s="91"/>
      <c r="Q47" s="84"/>
      <c r="R47" s="48"/>
      <c r="S47" s="91">
        <f t="shared" ref="S47:S48" si="51">Q47+R47</f>
        <v>0</v>
      </c>
      <c r="T47" s="84"/>
      <c r="U47" s="48"/>
      <c r="V47" s="91"/>
      <c r="W47" s="84">
        <v>1568.3</v>
      </c>
      <c r="X47" s="48"/>
      <c r="Y47" s="91">
        <f>W47+X47</f>
        <v>1568.3</v>
      </c>
      <c r="Z47" s="190">
        <v>5075.1000000000004</v>
      </c>
      <c r="AA47" s="50"/>
      <c r="AB47" s="204">
        <f>Z47+AA47</f>
        <v>5075.1000000000004</v>
      </c>
      <c r="AC47" s="190"/>
      <c r="AD47" s="50"/>
      <c r="AE47" s="204"/>
      <c r="AF47" s="178"/>
      <c r="AG47" s="2"/>
      <c r="AH47" s="96"/>
    </row>
    <row r="48" spans="1:35" ht="21" customHeight="1" x14ac:dyDescent="0.3">
      <c r="A48" s="59"/>
      <c r="B48" s="6" t="s">
        <v>36</v>
      </c>
      <c r="C48" s="46"/>
      <c r="D48" s="14"/>
      <c r="E48" s="14"/>
      <c r="F48" s="47"/>
      <c r="G48" s="14"/>
      <c r="H48" s="140"/>
      <c r="I48" s="91"/>
      <c r="J48" s="84"/>
      <c r="K48" s="47"/>
      <c r="L48" s="48"/>
      <c r="M48" s="91"/>
      <c r="N48" s="84"/>
      <c r="O48" s="48"/>
      <c r="P48" s="91"/>
      <c r="Q48" s="84"/>
      <c r="R48" s="48"/>
      <c r="S48" s="91">
        <f t="shared" si="51"/>
        <v>0</v>
      </c>
      <c r="T48" s="190"/>
      <c r="U48" s="50"/>
      <c r="V48" s="204"/>
      <c r="W48" s="178"/>
      <c r="X48" s="112"/>
      <c r="Y48" s="184"/>
      <c r="Z48" s="178"/>
      <c r="AA48" s="112"/>
      <c r="AB48" s="184"/>
      <c r="AC48" s="178">
        <v>200000</v>
      </c>
      <c r="AD48" s="112"/>
      <c r="AE48" s="184">
        <f>AC48+AD48</f>
        <v>200000</v>
      </c>
      <c r="AF48" s="178">
        <v>203800</v>
      </c>
      <c r="AG48" s="2"/>
      <c r="AH48" s="184">
        <f>AF48+AG48</f>
        <v>203800</v>
      </c>
    </row>
    <row r="49" spans="1:35" ht="77.25" customHeight="1" x14ac:dyDescent="0.3">
      <c r="A49" s="59"/>
      <c r="B49" s="6" t="s">
        <v>84</v>
      </c>
      <c r="C49" s="46" t="s">
        <v>16</v>
      </c>
      <c r="D49" s="14">
        <v>2024</v>
      </c>
      <c r="E49" s="14">
        <v>9.8190000000000008</v>
      </c>
      <c r="F49" s="47"/>
      <c r="G49" s="14"/>
      <c r="H49" s="140"/>
      <c r="I49" s="91">
        <v>763243</v>
      </c>
      <c r="J49" s="84"/>
      <c r="K49" s="47"/>
      <c r="L49" s="48"/>
      <c r="M49" s="91"/>
      <c r="N49" s="84"/>
      <c r="O49" s="48"/>
      <c r="P49" s="91"/>
      <c r="Q49" s="84"/>
      <c r="R49" s="48"/>
      <c r="S49" s="91"/>
      <c r="T49" s="190">
        <f>T50+T51</f>
        <v>0</v>
      </c>
      <c r="U49" s="190">
        <f>U50+U51</f>
        <v>0</v>
      </c>
      <c r="V49" s="204">
        <f>V50+V51</f>
        <v>0</v>
      </c>
      <c r="W49" s="290">
        <f>W50+W51</f>
        <v>0</v>
      </c>
      <c r="X49" s="290">
        <f t="shared" ref="X49:Y49" si="52">X50+X51</f>
        <v>0</v>
      </c>
      <c r="Y49" s="291">
        <f t="shared" si="52"/>
        <v>0</v>
      </c>
      <c r="Z49" s="290">
        <f>Z50+Z51</f>
        <v>0</v>
      </c>
      <c r="AA49" s="290">
        <f t="shared" ref="AA49:AB49" si="53">AA50+AA51</f>
        <v>0</v>
      </c>
      <c r="AB49" s="291">
        <f t="shared" si="53"/>
        <v>0</v>
      </c>
      <c r="AC49" s="178"/>
      <c r="AD49" s="112"/>
      <c r="AE49" s="184"/>
      <c r="AF49" s="178"/>
      <c r="AG49" s="2"/>
      <c r="AH49" s="184"/>
    </row>
    <row r="50" spans="1:35" ht="21" customHeight="1" x14ac:dyDescent="0.3">
      <c r="A50" s="59"/>
      <c r="B50" s="26" t="s">
        <v>22</v>
      </c>
      <c r="C50" s="33"/>
      <c r="D50" s="28"/>
      <c r="E50" s="28"/>
      <c r="F50" s="34"/>
      <c r="G50" s="28"/>
      <c r="H50" s="138"/>
      <c r="I50" s="92"/>
      <c r="J50" s="85"/>
      <c r="K50" s="34"/>
      <c r="L50" s="35"/>
      <c r="M50" s="92"/>
      <c r="N50" s="85"/>
      <c r="O50" s="35"/>
      <c r="P50" s="92"/>
      <c r="Q50" s="85"/>
      <c r="R50" s="35"/>
      <c r="S50" s="92"/>
      <c r="T50" s="189"/>
      <c r="U50" s="37"/>
      <c r="V50" s="203"/>
      <c r="W50" s="198"/>
      <c r="X50" s="198"/>
      <c r="Y50" s="216"/>
      <c r="Z50" s="198"/>
      <c r="AA50" s="198"/>
      <c r="AB50" s="216"/>
      <c r="AC50" s="198"/>
      <c r="AD50" s="113"/>
      <c r="AE50" s="216"/>
      <c r="AF50" s="198"/>
      <c r="AG50" s="232"/>
      <c r="AH50" s="216"/>
    </row>
    <row r="51" spans="1:35" ht="21" customHeight="1" x14ac:dyDescent="0.3">
      <c r="A51" s="59"/>
      <c r="B51" s="6" t="s">
        <v>23</v>
      </c>
      <c r="C51" s="46"/>
      <c r="D51" s="14"/>
      <c r="E51" s="14"/>
      <c r="F51" s="47"/>
      <c r="G51" s="14"/>
      <c r="H51" s="140"/>
      <c r="I51" s="91"/>
      <c r="J51" s="84"/>
      <c r="K51" s="47"/>
      <c r="L51" s="48"/>
      <c r="M51" s="91"/>
      <c r="N51" s="84"/>
      <c r="O51" s="48"/>
      <c r="P51" s="91"/>
      <c r="Q51" s="84"/>
      <c r="R51" s="48"/>
      <c r="S51" s="91"/>
      <c r="T51" s="190">
        <f>T52+T53</f>
        <v>0</v>
      </c>
      <c r="U51" s="190">
        <f t="shared" ref="U51:V51" si="54">U52+U53</f>
        <v>0</v>
      </c>
      <c r="V51" s="204">
        <f t="shared" si="54"/>
        <v>0</v>
      </c>
      <c r="W51" s="178">
        <f>W52+W53</f>
        <v>0</v>
      </c>
      <c r="X51" s="178">
        <f t="shared" ref="X51:Y51" si="55">X52+X53</f>
        <v>0</v>
      </c>
      <c r="Y51" s="184">
        <f t="shared" si="55"/>
        <v>0</v>
      </c>
      <c r="Z51" s="178">
        <f>Z52+Z53</f>
        <v>0</v>
      </c>
      <c r="AA51" s="178">
        <f t="shared" ref="AA51:AB51" si="56">AA52+AA53</f>
        <v>0</v>
      </c>
      <c r="AB51" s="184">
        <f t="shared" si="56"/>
        <v>0</v>
      </c>
      <c r="AC51" s="178"/>
      <c r="AD51" s="112"/>
      <c r="AE51" s="184"/>
      <c r="AF51" s="178"/>
      <c r="AG51" s="2"/>
      <c r="AH51" s="184"/>
    </row>
    <row r="52" spans="1:35" ht="21" customHeight="1" x14ac:dyDescent="0.3">
      <c r="A52" s="59"/>
      <c r="B52" s="6" t="s">
        <v>35</v>
      </c>
      <c r="C52" s="46"/>
      <c r="D52" s="14"/>
      <c r="E52" s="14"/>
      <c r="F52" s="47"/>
      <c r="G52" s="14"/>
      <c r="H52" s="140"/>
      <c r="I52" s="91"/>
      <c r="J52" s="84"/>
      <c r="K52" s="47"/>
      <c r="L52" s="48"/>
      <c r="M52" s="91"/>
      <c r="N52" s="84"/>
      <c r="O52" s="48"/>
      <c r="P52" s="91"/>
      <c r="Q52" s="84"/>
      <c r="R52" s="48"/>
      <c r="S52" s="91"/>
      <c r="T52" s="190">
        <f>9570-9570</f>
        <v>0</v>
      </c>
      <c r="U52" s="50"/>
      <c r="V52" s="204">
        <f>T52+U52</f>
        <v>0</v>
      </c>
      <c r="W52" s="178"/>
      <c r="X52" s="178"/>
      <c r="Y52" s="184"/>
      <c r="Z52" s="178"/>
      <c r="AA52" s="178"/>
      <c r="AB52" s="184"/>
      <c r="AC52" s="178"/>
      <c r="AD52" s="112"/>
      <c r="AE52" s="184"/>
      <c r="AF52" s="178"/>
      <c r="AG52" s="2"/>
      <c r="AH52" s="184"/>
    </row>
    <row r="53" spans="1:35" ht="21" customHeight="1" x14ac:dyDescent="0.3">
      <c r="A53" s="59"/>
      <c r="B53" s="6" t="s">
        <v>36</v>
      </c>
      <c r="C53" s="46"/>
      <c r="D53" s="14"/>
      <c r="E53" s="14"/>
      <c r="F53" s="47"/>
      <c r="G53" s="14"/>
      <c r="H53" s="140"/>
      <c r="I53" s="91"/>
      <c r="J53" s="84"/>
      <c r="K53" s="47"/>
      <c r="L53" s="48"/>
      <c r="M53" s="91"/>
      <c r="N53" s="84"/>
      <c r="O53" s="48"/>
      <c r="P53" s="91"/>
      <c r="Q53" s="84"/>
      <c r="R53" s="48"/>
      <c r="S53" s="91"/>
      <c r="T53" s="190"/>
      <c r="U53" s="50"/>
      <c r="V53" s="204"/>
      <c r="W53" s="178">
        <f>446909-446909</f>
        <v>0</v>
      </c>
      <c r="X53" s="178"/>
      <c r="Y53" s="184">
        <f>W53+X53</f>
        <v>0</v>
      </c>
      <c r="Z53" s="178">
        <f>306664-306664</f>
        <v>0</v>
      </c>
      <c r="AA53" s="178"/>
      <c r="AB53" s="184">
        <f>Z53+AA53</f>
        <v>0</v>
      </c>
      <c r="AC53" s="178"/>
      <c r="AD53" s="112"/>
      <c r="AE53" s="184"/>
      <c r="AF53" s="178"/>
      <c r="AG53" s="2"/>
      <c r="AH53" s="184"/>
    </row>
    <row r="54" spans="1:35" ht="77.25" customHeight="1" x14ac:dyDescent="0.3">
      <c r="A54" s="59">
        <v>23</v>
      </c>
      <c r="B54" s="43" t="s">
        <v>32</v>
      </c>
      <c r="C54" s="8" t="s">
        <v>17</v>
      </c>
      <c r="D54" s="17" t="s">
        <v>67</v>
      </c>
      <c r="E54" s="18">
        <v>11.63</v>
      </c>
      <c r="F54" s="18">
        <v>77.25</v>
      </c>
      <c r="G54" s="18">
        <v>7.7249999999999999E-2</v>
      </c>
      <c r="H54" s="141"/>
      <c r="I54" s="109">
        <f>763342.6+12000</f>
        <v>775342.6</v>
      </c>
      <c r="J54" s="44">
        <v>11.63</v>
      </c>
      <c r="K54" s="18">
        <v>77.25</v>
      </c>
      <c r="L54" s="31">
        <f>Q54+T54</f>
        <v>12000</v>
      </c>
      <c r="M54" s="179"/>
      <c r="N54" s="174"/>
      <c r="O54" s="71"/>
      <c r="P54" s="179"/>
      <c r="Q54" s="95">
        <f>Q55+Q56</f>
        <v>0</v>
      </c>
      <c r="R54" s="69"/>
      <c r="S54" s="93">
        <f t="shared" ref="S54" si="57">Q54+R54</f>
        <v>0</v>
      </c>
      <c r="T54" s="95">
        <f>T55+T56</f>
        <v>12000</v>
      </c>
      <c r="U54" s="69">
        <f t="shared" ref="U54:V54" si="58">U55+U56</f>
        <v>0</v>
      </c>
      <c r="V54" s="93">
        <f t="shared" si="58"/>
        <v>12000</v>
      </c>
      <c r="W54" s="95">
        <f>W55+W56</f>
        <v>116790.8</v>
      </c>
      <c r="X54" s="95">
        <f t="shared" ref="X54:Y54" si="59">X55+X56</f>
        <v>0</v>
      </c>
      <c r="Y54" s="93">
        <f t="shared" si="59"/>
        <v>116790.8</v>
      </c>
      <c r="Z54" s="95">
        <f>Z55+Z56</f>
        <v>646551.80000000005</v>
      </c>
      <c r="AA54" s="95">
        <f t="shared" ref="AA54:AB54" si="60">AA55+AA56</f>
        <v>0</v>
      </c>
      <c r="AB54" s="93">
        <f t="shared" si="60"/>
        <v>646551.80000000005</v>
      </c>
      <c r="AC54" s="178"/>
      <c r="AD54" s="112"/>
      <c r="AE54" s="184"/>
      <c r="AF54" s="197"/>
      <c r="AG54" s="231"/>
      <c r="AH54" s="96"/>
      <c r="AI54" s="40">
        <f>I54-M54-P54-S54-V54-Y54-AB54-AE54-AH54</f>
        <v>-1.1641532182693481E-10</v>
      </c>
    </row>
    <row r="55" spans="1:35" ht="21" customHeight="1" x14ac:dyDescent="0.3">
      <c r="A55" s="61"/>
      <c r="B55" s="26" t="s">
        <v>22</v>
      </c>
      <c r="C55" s="27"/>
      <c r="D55" s="29"/>
      <c r="E55" s="30"/>
      <c r="F55" s="30"/>
      <c r="G55" s="30"/>
      <c r="H55" s="142"/>
      <c r="I55" s="110"/>
      <c r="J55" s="62"/>
      <c r="K55" s="30"/>
      <c r="L55" s="30"/>
      <c r="M55" s="181"/>
      <c r="N55" s="175"/>
      <c r="O55" s="36"/>
      <c r="P55" s="181"/>
      <c r="Q55" s="175"/>
      <c r="R55" s="36"/>
      <c r="S55" s="181">
        <f>Q55+R55</f>
        <v>0</v>
      </c>
      <c r="T55" s="189"/>
      <c r="U55" s="37"/>
      <c r="V55" s="203"/>
      <c r="W55" s="189">
        <f>W58</f>
        <v>116790.8</v>
      </c>
      <c r="X55" s="189">
        <f t="shared" ref="X55:Y55" si="61">X58</f>
        <v>0</v>
      </c>
      <c r="Y55" s="203">
        <f t="shared" si="61"/>
        <v>116790.8</v>
      </c>
      <c r="Z55" s="189">
        <f>Z58</f>
        <v>646451.80000000005</v>
      </c>
      <c r="AA55" s="189">
        <f t="shared" ref="AA55:AB55" si="62">AA58</f>
        <v>0</v>
      </c>
      <c r="AB55" s="203">
        <f t="shared" si="62"/>
        <v>646451.80000000005</v>
      </c>
      <c r="AC55" s="198"/>
      <c r="AD55" s="113"/>
      <c r="AE55" s="216"/>
      <c r="AF55" s="198"/>
      <c r="AG55" s="232"/>
      <c r="AH55" s="235"/>
    </row>
    <row r="56" spans="1:35" ht="19.5" customHeight="1" x14ac:dyDescent="0.3">
      <c r="A56" s="61"/>
      <c r="B56" s="6" t="s">
        <v>23</v>
      </c>
      <c r="C56" s="8"/>
      <c r="D56" s="17"/>
      <c r="E56" s="18"/>
      <c r="F56" s="18"/>
      <c r="G56" s="18"/>
      <c r="H56" s="141"/>
      <c r="I56" s="109"/>
      <c r="J56" s="44"/>
      <c r="K56" s="18"/>
      <c r="L56" s="18"/>
      <c r="M56" s="179"/>
      <c r="N56" s="174"/>
      <c r="O56" s="71"/>
      <c r="P56" s="179"/>
      <c r="Q56" s="95"/>
      <c r="R56" s="69"/>
      <c r="S56" s="93">
        <f>Q56+R56</f>
        <v>0</v>
      </c>
      <c r="T56" s="95">
        <v>12000</v>
      </c>
      <c r="U56" s="69"/>
      <c r="V56" s="93">
        <f>T56+U56</f>
        <v>12000</v>
      </c>
      <c r="W56" s="178"/>
      <c r="X56" s="112"/>
      <c r="Y56" s="184"/>
      <c r="Z56" s="178">
        <f>Z57</f>
        <v>100</v>
      </c>
      <c r="AA56" s="178">
        <f t="shared" ref="AA56:AB56" si="63">AA57</f>
        <v>0</v>
      </c>
      <c r="AB56" s="184">
        <f t="shared" si="63"/>
        <v>100</v>
      </c>
      <c r="AC56" s="178"/>
      <c r="AD56" s="112"/>
      <c r="AE56" s="184"/>
      <c r="AF56" s="178"/>
      <c r="AG56" s="2"/>
      <c r="AH56" s="96"/>
    </row>
    <row r="57" spans="1:35" ht="19.5" customHeight="1" x14ac:dyDescent="0.3">
      <c r="A57" s="61"/>
      <c r="B57" s="6" t="s">
        <v>35</v>
      </c>
      <c r="C57" s="8"/>
      <c r="D57" s="17"/>
      <c r="E57" s="18"/>
      <c r="F57" s="44"/>
      <c r="G57" s="18"/>
      <c r="H57" s="141"/>
      <c r="I57" s="109"/>
      <c r="J57" s="44"/>
      <c r="K57" s="18"/>
      <c r="L57" s="18"/>
      <c r="M57" s="179"/>
      <c r="N57" s="174"/>
      <c r="O57" s="71"/>
      <c r="P57" s="179"/>
      <c r="Q57" s="95"/>
      <c r="R57" s="69"/>
      <c r="S57" s="93"/>
      <c r="T57" s="95">
        <v>12000</v>
      </c>
      <c r="U57" s="69"/>
      <c r="V57" s="93">
        <f>T57+U57</f>
        <v>12000</v>
      </c>
      <c r="W57" s="178"/>
      <c r="X57" s="112"/>
      <c r="Y57" s="184"/>
      <c r="Z57" s="178">
        <v>100</v>
      </c>
      <c r="AA57" s="112"/>
      <c r="AB57" s="184">
        <f>Z57+AA57</f>
        <v>100</v>
      </c>
      <c r="AC57" s="178"/>
      <c r="AD57" s="112"/>
      <c r="AE57" s="184"/>
      <c r="AF57" s="178"/>
      <c r="AG57" s="2"/>
      <c r="AH57" s="96"/>
    </row>
    <row r="58" spans="1:35" ht="19.5" customHeight="1" x14ac:dyDescent="0.3">
      <c r="A58" s="61"/>
      <c r="B58" s="6" t="s">
        <v>36</v>
      </c>
      <c r="C58" s="8"/>
      <c r="D58" s="17"/>
      <c r="E58" s="18"/>
      <c r="F58" s="44"/>
      <c r="G58" s="18"/>
      <c r="H58" s="141"/>
      <c r="I58" s="109"/>
      <c r="J58" s="44"/>
      <c r="K58" s="18"/>
      <c r="L58" s="18"/>
      <c r="M58" s="179"/>
      <c r="N58" s="174"/>
      <c r="O58" s="71"/>
      <c r="P58" s="179"/>
      <c r="Q58" s="95"/>
      <c r="R58" s="69"/>
      <c r="S58" s="93"/>
      <c r="T58" s="95"/>
      <c r="U58" s="69"/>
      <c r="V58" s="93"/>
      <c r="W58" s="178">
        <v>116790.8</v>
      </c>
      <c r="X58" s="112"/>
      <c r="Y58" s="184">
        <f>W58+X58</f>
        <v>116790.8</v>
      </c>
      <c r="Z58" s="178">
        <v>646451.80000000005</v>
      </c>
      <c r="AA58" s="112"/>
      <c r="AB58" s="184">
        <f>Z58+AA58</f>
        <v>646451.80000000005</v>
      </c>
      <c r="AC58" s="178"/>
      <c r="AD58" s="112"/>
      <c r="AE58" s="184"/>
      <c r="AF58" s="178"/>
      <c r="AG58" s="2"/>
      <c r="AH58" s="96"/>
    </row>
    <row r="59" spans="1:35" ht="110.25" customHeight="1" x14ac:dyDescent="0.3">
      <c r="A59" s="59">
        <v>31</v>
      </c>
      <c r="B59" s="6" t="s">
        <v>97</v>
      </c>
      <c r="C59" s="13" t="s">
        <v>16</v>
      </c>
      <c r="D59" s="7">
        <v>2022</v>
      </c>
      <c r="E59" s="7">
        <v>26.16</v>
      </c>
      <c r="F59" s="12"/>
      <c r="G59" s="7"/>
      <c r="H59" s="137"/>
      <c r="I59" s="304">
        <v>758640</v>
      </c>
      <c r="J59" s="12"/>
      <c r="K59" s="18"/>
      <c r="L59" s="7"/>
      <c r="M59" s="179"/>
      <c r="N59" s="174"/>
      <c r="O59" s="71"/>
      <c r="P59" s="179"/>
      <c r="Q59" s="48">
        <f>Q61+Q60</f>
        <v>489580.79999999999</v>
      </c>
      <c r="R59" s="48">
        <f>R61+R60</f>
        <v>179969.6</v>
      </c>
      <c r="S59" s="91">
        <f t="shared" ref="S59:S63" si="64">Q59+R59</f>
        <v>669550.4</v>
      </c>
      <c r="T59" s="95">
        <f>T60+T61</f>
        <v>269059.20000000001</v>
      </c>
      <c r="U59" s="95">
        <f t="shared" ref="U59:V59" si="65">U60+U61</f>
        <v>-179969.6</v>
      </c>
      <c r="V59" s="310">
        <f t="shared" si="65"/>
        <v>89089.600000000006</v>
      </c>
      <c r="W59" s="197">
        <f>W61</f>
        <v>0</v>
      </c>
      <c r="X59" s="111"/>
      <c r="Y59" s="215"/>
      <c r="Z59" s="197">
        <f t="shared" ref="Z59:AF59" si="66">Z61</f>
        <v>0</v>
      </c>
      <c r="AA59" s="111"/>
      <c r="AB59" s="215"/>
      <c r="AC59" s="197">
        <f t="shared" si="66"/>
        <v>0</v>
      </c>
      <c r="AD59" s="111"/>
      <c r="AE59" s="215"/>
      <c r="AF59" s="197">
        <f t="shared" si="66"/>
        <v>0</v>
      </c>
      <c r="AG59" s="111"/>
      <c r="AH59" s="96"/>
      <c r="AI59" s="305">
        <f>I59-S59-V59-Y59-AB59</f>
        <v>-2.9103830456733704E-11</v>
      </c>
    </row>
    <row r="60" spans="1:35" ht="21" customHeight="1" x14ac:dyDescent="0.3">
      <c r="A60" s="59"/>
      <c r="B60" s="26" t="s">
        <v>22</v>
      </c>
      <c r="C60" s="33"/>
      <c r="D60" s="28"/>
      <c r="E60" s="28"/>
      <c r="F60" s="34"/>
      <c r="G60" s="28"/>
      <c r="H60" s="138"/>
      <c r="I60" s="165"/>
      <c r="J60" s="34"/>
      <c r="K60" s="62"/>
      <c r="L60" s="28"/>
      <c r="M60" s="181"/>
      <c r="N60" s="175"/>
      <c r="O60" s="36"/>
      <c r="P60" s="181"/>
      <c r="Q60" s="85">
        <f>Q63</f>
        <v>478641.6</v>
      </c>
      <c r="R60" s="35">
        <v>179969.6</v>
      </c>
      <c r="S60" s="92">
        <f>Q60+R60</f>
        <v>658611.19999999995</v>
      </c>
      <c r="T60" s="35">
        <f>T63</f>
        <v>269059.20000000001</v>
      </c>
      <c r="U60" s="35">
        <f>U63</f>
        <v>-179969.6</v>
      </c>
      <c r="V60" s="92">
        <f>V63</f>
        <v>89089.600000000006</v>
      </c>
      <c r="W60" s="189"/>
      <c r="X60" s="37"/>
      <c r="Y60" s="203"/>
      <c r="Z60" s="189"/>
      <c r="AA60" s="37"/>
      <c r="AB60" s="203"/>
      <c r="AC60" s="189"/>
      <c r="AD60" s="37"/>
      <c r="AE60" s="203"/>
      <c r="AF60" s="189"/>
      <c r="AG60" s="189"/>
      <c r="AH60" s="203"/>
    </row>
    <row r="61" spans="1:35" ht="21.75" customHeight="1" x14ac:dyDescent="0.3">
      <c r="A61" s="59"/>
      <c r="B61" s="6" t="s">
        <v>23</v>
      </c>
      <c r="C61" s="13"/>
      <c r="D61" s="7"/>
      <c r="E61" s="7"/>
      <c r="F61" s="12"/>
      <c r="G61" s="7"/>
      <c r="H61" s="137"/>
      <c r="I61" s="105"/>
      <c r="J61" s="12"/>
      <c r="K61" s="44"/>
      <c r="L61" s="7"/>
      <c r="M61" s="179"/>
      <c r="N61" s="174"/>
      <c r="O61" s="71"/>
      <c r="P61" s="179"/>
      <c r="Q61" s="69">
        <f>Q62</f>
        <v>10939.2</v>
      </c>
      <c r="R61" s="69"/>
      <c r="S61" s="91">
        <f>S62</f>
        <v>10939.2</v>
      </c>
      <c r="T61" s="95"/>
      <c r="U61" s="69"/>
      <c r="V61" s="93"/>
      <c r="W61" s="178"/>
      <c r="X61" s="112"/>
      <c r="Y61" s="184"/>
      <c r="Z61" s="178"/>
      <c r="AA61" s="112"/>
      <c r="AB61" s="184"/>
      <c r="AC61" s="178"/>
      <c r="AD61" s="112"/>
      <c r="AE61" s="184"/>
      <c r="AF61" s="178"/>
      <c r="AG61" s="2"/>
      <c r="AH61" s="96"/>
    </row>
    <row r="62" spans="1:35" ht="19.5" customHeight="1" x14ac:dyDescent="0.3">
      <c r="A62" s="59"/>
      <c r="B62" s="6" t="s">
        <v>35</v>
      </c>
      <c r="C62" s="13"/>
      <c r="D62" s="7"/>
      <c r="E62" s="7"/>
      <c r="F62" s="12"/>
      <c r="G62" s="7"/>
      <c r="H62" s="137"/>
      <c r="I62" s="105"/>
      <c r="J62" s="12"/>
      <c r="K62" s="44"/>
      <c r="L62" s="7"/>
      <c r="M62" s="179"/>
      <c r="N62" s="174"/>
      <c r="O62" s="71"/>
      <c r="P62" s="179"/>
      <c r="Q62" s="69">
        <v>10939.2</v>
      </c>
      <c r="R62" s="69"/>
      <c r="S62" s="93">
        <f t="shared" si="64"/>
        <v>10939.2</v>
      </c>
      <c r="T62" s="95"/>
      <c r="U62" s="69"/>
      <c r="V62" s="93"/>
      <c r="W62" s="197"/>
      <c r="X62" s="111"/>
      <c r="Y62" s="215"/>
      <c r="Z62" s="178"/>
      <c r="AA62" s="112"/>
      <c r="AB62" s="184"/>
      <c r="AC62" s="178"/>
      <c r="AD62" s="112"/>
      <c r="AE62" s="184"/>
      <c r="AF62" s="178"/>
      <c r="AG62" s="2"/>
      <c r="AH62" s="96"/>
    </row>
    <row r="63" spans="1:35" ht="18.75" customHeight="1" x14ac:dyDescent="0.3">
      <c r="A63" s="59"/>
      <c r="B63" s="6" t="s">
        <v>36</v>
      </c>
      <c r="C63" s="13"/>
      <c r="D63" s="7"/>
      <c r="E63" s="7"/>
      <c r="F63" s="12"/>
      <c r="G63" s="7"/>
      <c r="H63" s="137"/>
      <c r="I63" s="105"/>
      <c r="J63" s="12"/>
      <c r="K63" s="44"/>
      <c r="L63" s="7"/>
      <c r="M63" s="179"/>
      <c r="N63" s="174"/>
      <c r="O63" s="71"/>
      <c r="P63" s="179"/>
      <c r="Q63" s="69">
        <v>478641.6</v>
      </c>
      <c r="R63" s="69">
        <v>179969.6</v>
      </c>
      <c r="S63" s="93">
        <f t="shared" si="64"/>
        <v>658611.19999999995</v>
      </c>
      <c r="T63" s="69">
        <f>269059.2</f>
        <v>269059.20000000001</v>
      </c>
      <c r="U63" s="69">
        <v>-179969.6</v>
      </c>
      <c r="V63" s="93">
        <f>T63+U63</f>
        <v>89089.600000000006</v>
      </c>
      <c r="W63" s="190"/>
      <c r="X63" s="50"/>
      <c r="Y63" s="204"/>
      <c r="Z63" s="178"/>
      <c r="AA63" s="112"/>
      <c r="AB63" s="184"/>
      <c r="AC63" s="178"/>
      <c r="AD63" s="112"/>
      <c r="AE63" s="184"/>
      <c r="AF63" s="178"/>
      <c r="AG63" s="2"/>
      <c r="AH63" s="96"/>
    </row>
    <row r="64" spans="1:35" ht="105" customHeight="1" x14ac:dyDescent="0.3">
      <c r="A64" s="59"/>
      <c r="B64" s="124" t="s">
        <v>98</v>
      </c>
      <c r="C64" s="13" t="s">
        <v>16</v>
      </c>
      <c r="D64" s="7">
        <v>2026</v>
      </c>
      <c r="E64" s="173">
        <v>16</v>
      </c>
      <c r="F64" s="12"/>
      <c r="G64" s="7"/>
      <c r="H64" s="137"/>
      <c r="I64" s="93">
        <v>464000</v>
      </c>
      <c r="J64" s="12"/>
      <c r="K64" s="44"/>
      <c r="L64" s="7"/>
      <c r="M64" s="179"/>
      <c r="N64" s="174"/>
      <c r="O64" s="71"/>
      <c r="P64" s="179"/>
      <c r="Q64" s="95">
        <f>Q65+Q66</f>
        <v>0</v>
      </c>
      <c r="R64" s="69">
        <f>R65+R66</f>
        <v>0</v>
      </c>
      <c r="S64" s="93">
        <f>S65+S66</f>
        <v>0</v>
      </c>
      <c r="T64" s="95"/>
      <c r="U64" s="69"/>
      <c r="V64" s="93"/>
      <c r="W64" s="190">
        <f>W65+W66</f>
        <v>0</v>
      </c>
      <c r="X64" s="190">
        <f t="shared" ref="X64:Y64" si="67">X65+X66</f>
        <v>0</v>
      </c>
      <c r="Y64" s="312">
        <f t="shared" si="67"/>
        <v>0</v>
      </c>
      <c r="Z64" s="197">
        <f>Z65+Z66</f>
        <v>10716.9</v>
      </c>
      <c r="AA64" s="197">
        <f t="shared" ref="AA64:AB64" si="68">AA65+AA66</f>
        <v>0</v>
      </c>
      <c r="AB64" s="313">
        <f t="shared" si="68"/>
        <v>10716.9</v>
      </c>
      <c r="AC64" s="197">
        <f>AC65+AC66</f>
        <v>250000</v>
      </c>
      <c r="AD64" s="197">
        <f t="shared" ref="AD64:AE64" si="69">AD65+AD66</f>
        <v>0</v>
      </c>
      <c r="AE64" s="313">
        <f t="shared" si="69"/>
        <v>250000</v>
      </c>
      <c r="AF64" s="197">
        <f>AF65+AF66</f>
        <v>203283.1</v>
      </c>
      <c r="AG64" s="197">
        <f t="shared" ref="AG64:AH64" si="70">AG65+AG66</f>
        <v>0</v>
      </c>
      <c r="AH64" s="197">
        <f t="shared" si="70"/>
        <v>203283.1</v>
      </c>
      <c r="AI64" s="305">
        <f>I64-S64-Y64-AB64-AE64-AH64</f>
        <v>0</v>
      </c>
    </row>
    <row r="65" spans="1:35" ht="18.75" customHeight="1" x14ac:dyDescent="0.3">
      <c r="A65" s="59"/>
      <c r="B65" s="26" t="s">
        <v>22</v>
      </c>
      <c r="C65" s="33"/>
      <c r="D65" s="28"/>
      <c r="E65" s="28"/>
      <c r="F65" s="34"/>
      <c r="G65" s="28"/>
      <c r="H65" s="138"/>
      <c r="I65" s="165"/>
      <c r="J65" s="34"/>
      <c r="K65" s="62"/>
      <c r="L65" s="28"/>
      <c r="M65" s="181"/>
      <c r="N65" s="175"/>
      <c r="O65" s="36"/>
      <c r="P65" s="181"/>
      <c r="Q65" s="85"/>
      <c r="R65" s="35"/>
      <c r="S65" s="92"/>
      <c r="T65" s="85"/>
      <c r="U65" s="35"/>
      <c r="V65" s="92"/>
      <c r="W65" s="189"/>
      <c r="X65" s="37"/>
      <c r="Y65" s="203"/>
      <c r="Z65" s="198">
        <f>Z68</f>
        <v>0</v>
      </c>
      <c r="AA65" s="198">
        <f t="shared" ref="AA65:AB65" si="71">AA68</f>
        <v>0</v>
      </c>
      <c r="AB65" s="314">
        <f t="shared" si="71"/>
        <v>0</v>
      </c>
      <c r="AC65" s="198">
        <f>AC68</f>
        <v>250000</v>
      </c>
      <c r="AD65" s="198">
        <f t="shared" ref="AD65:AE65" si="72">AD68</f>
        <v>0</v>
      </c>
      <c r="AE65" s="314">
        <f t="shared" si="72"/>
        <v>250000</v>
      </c>
      <c r="AF65" s="198">
        <f>AF68</f>
        <v>203283.1</v>
      </c>
      <c r="AG65" s="198">
        <f t="shared" ref="AG65:AH65" si="73">AG68</f>
        <v>0</v>
      </c>
      <c r="AH65" s="198">
        <f t="shared" si="73"/>
        <v>203283.1</v>
      </c>
    </row>
    <row r="66" spans="1:35" ht="18.75" customHeight="1" x14ac:dyDescent="0.3">
      <c r="A66" s="59"/>
      <c r="B66" s="6" t="s">
        <v>23</v>
      </c>
      <c r="C66" s="13"/>
      <c r="D66" s="7"/>
      <c r="E66" s="7"/>
      <c r="F66" s="12"/>
      <c r="G66" s="7"/>
      <c r="H66" s="137"/>
      <c r="I66" s="105"/>
      <c r="J66" s="12"/>
      <c r="K66" s="44"/>
      <c r="L66" s="7"/>
      <c r="M66" s="179"/>
      <c r="N66" s="174"/>
      <c r="O66" s="71"/>
      <c r="P66" s="179"/>
      <c r="Q66" s="95">
        <f>Q67+Q68</f>
        <v>0</v>
      </c>
      <c r="R66" s="69">
        <f t="shared" ref="R66:S66" si="74">R67+R68</f>
        <v>0</v>
      </c>
      <c r="S66" s="91">
        <f t="shared" si="74"/>
        <v>0</v>
      </c>
      <c r="T66" s="95"/>
      <c r="U66" s="69"/>
      <c r="V66" s="93"/>
      <c r="W66" s="190">
        <f>W67</f>
        <v>0</v>
      </c>
      <c r="X66" s="190">
        <f t="shared" ref="X66:Y66" si="75">X67</f>
        <v>0</v>
      </c>
      <c r="Y66" s="312">
        <f t="shared" si="75"/>
        <v>0</v>
      </c>
      <c r="Z66" s="112">
        <f>Z67</f>
        <v>10716.9</v>
      </c>
      <c r="AA66" s="112">
        <f>AA67</f>
        <v>0</v>
      </c>
      <c r="AB66" s="112">
        <f>AB67</f>
        <v>10716.9</v>
      </c>
      <c r="AC66" s="178"/>
      <c r="AD66" s="112"/>
      <c r="AE66" s="184"/>
      <c r="AF66" s="178"/>
      <c r="AG66" s="2"/>
      <c r="AH66" s="96"/>
    </row>
    <row r="67" spans="1:35" ht="18.75" customHeight="1" x14ac:dyDescent="0.3">
      <c r="A67" s="59"/>
      <c r="B67" s="6" t="s">
        <v>35</v>
      </c>
      <c r="C67" s="13"/>
      <c r="D67" s="7"/>
      <c r="E67" s="7"/>
      <c r="F67" s="12"/>
      <c r="G67" s="7"/>
      <c r="H67" s="137"/>
      <c r="I67" s="105"/>
      <c r="J67" s="12"/>
      <c r="K67" s="44"/>
      <c r="L67" s="7"/>
      <c r="M67" s="179"/>
      <c r="N67" s="174"/>
      <c r="O67" s="71"/>
      <c r="P67" s="179"/>
      <c r="Q67" s="95"/>
      <c r="R67" s="69"/>
      <c r="S67" s="93">
        <f>Q67+R67</f>
        <v>0</v>
      </c>
      <c r="T67" s="95"/>
      <c r="U67" s="69"/>
      <c r="V67" s="93"/>
      <c r="W67" s="190">
        <f>10716.9-10716.9</f>
        <v>0</v>
      </c>
      <c r="X67" s="299"/>
      <c r="Y67" s="204">
        <f>W67+X67</f>
        <v>0</v>
      </c>
      <c r="Z67" s="112">
        <v>10716.9</v>
      </c>
      <c r="AA67" s="112"/>
      <c r="AB67" s="184">
        <f>Z67+AA67</f>
        <v>10716.9</v>
      </c>
      <c r="AC67" s="178"/>
      <c r="AD67" s="112"/>
      <c r="AE67" s="184"/>
      <c r="AF67" s="178"/>
      <c r="AG67" s="2"/>
      <c r="AH67" s="96"/>
    </row>
    <row r="68" spans="1:35" ht="18.75" customHeight="1" x14ac:dyDescent="0.3">
      <c r="A68" s="59"/>
      <c r="B68" s="6" t="s">
        <v>36</v>
      </c>
      <c r="C68" s="13"/>
      <c r="D68" s="7"/>
      <c r="E68" s="7"/>
      <c r="F68" s="12"/>
      <c r="G68" s="7"/>
      <c r="H68" s="137"/>
      <c r="I68" s="105"/>
      <c r="J68" s="12"/>
      <c r="K68" s="44"/>
      <c r="L68" s="7"/>
      <c r="M68" s="179"/>
      <c r="N68" s="174"/>
      <c r="O68" s="71"/>
      <c r="P68" s="179"/>
      <c r="Q68" s="95"/>
      <c r="R68" s="69"/>
      <c r="S68" s="93"/>
      <c r="T68" s="95"/>
      <c r="U68" s="69"/>
      <c r="V68" s="93"/>
      <c r="W68" s="190"/>
      <c r="X68" s="50"/>
      <c r="Y68" s="204"/>
      <c r="Z68" s="178">
        <f>250000-250000</f>
        <v>0</v>
      </c>
      <c r="AA68" s="112"/>
      <c r="AB68" s="184">
        <f>Z68+AA68</f>
        <v>0</v>
      </c>
      <c r="AC68" s="178">
        <f>203283.1+46716.9</f>
        <v>250000</v>
      </c>
      <c r="AD68" s="112"/>
      <c r="AE68" s="184">
        <f>AC68+AD68</f>
        <v>250000</v>
      </c>
      <c r="AF68" s="2">
        <v>203283.1</v>
      </c>
      <c r="AG68" s="2"/>
      <c r="AH68" s="184">
        <f>AF68+AG68</f>
        <v>203283.1</v>
      </c>
    </row>
    <row r="69" spans="1:35" ht="108.75" customHeight="1" x14ac:dyDescent="0.3">
      <c r="A69" s="59"/>
      <c r="B69" s="124" t="s">
        <v>99</v>
      </c>
      <c r="C69" s="13" t="s">
        <v>16</v>
      </c>
      <c r="D69" s="7">
        <v>2026</v>
      </c>
      <c r="E69" s="7">
        <v>20.2</v>
      </c>
      <c r="F69" s="12"/>
      <c r="G69" s="7"/>
      <c r="H69" s="137"/>
      <c r="I69" s="93">
        <v>658120</v>
      </c>
      <c r="J69" s="12"/>
      <c r="K69" s="44"/>
      <c r="L69" s="7"/>
      <c r="M69" s="179"/>
      <c r="N69" s="174"/>
      <c r="O69" s="71"/>
      <c r="P69" s="179"/>
      <c r="Q69" s="95"/>
      <c r="R69" s="69"/>
      <c r="S69" s="93"/>
      <c r="T69" s="95"/>
      <c r="U69" s="69"/>
      <c r="V69" s="93"/>
      <c r="W69" s="252">
        <f>W70+W71</f>
        <v>0</v>
      </c>
      <c r="X69" s="252">
        <f t="shared" ref="X69:Y69" si="76">X70+X71</f>
        <v>0</v>
      </c>
      <c r="Y69" s="256">
        <f t="shared" si="76"/>
        <v>0</v>
      </c>
      <c r="Z69" s="197">
        <f>Z70+Z71</f>
        <v>18010.5</v>
      </c>
      <c r="AA69" s="197">
        <f t="shared" ref="AA69:AB69" si="77">AA70+AA71</f>
        <v>0</v>
      </c>
      <c r="AB69" s="313">
        <f t="shared" si="77"/>
        <v>18010.5</v>
      </c>
      <c r="AC69" s="197">
        <f>AC70+AC71</f>
        <v>320000</v>
      </c>
      <c r="AD69" s="197">
        <f t="shared" ref="AD69:AE69" si="78">AD70+AD71</f>
        <v>0</v>
      </c>
      <c r="AE69" s="313">
        <f t="shared" si="78"/>
        <v>320000</v>
      </c>
      <c r="AF69" s="197">
        <f>AF70+AF71</f>
        <v>320109.5</v>
      </c>
      <c r="AG69" s="197">
        <f t="shared" ref="AG69:AH69" si="79">AG70+AG71</f>
        <v>0</v>
      </c>
      <c r="AH69" s="197">
        <f t="shared" si="79"/>
        <v>320109.5</v>
      </c>
      <c r="AI69" s="305">
        <f>I69-Y69-AB69-AE69-AH69</f>
        <v>0</v>
      </c>
    </row>
    <row r="70" spans="1:35" ht="18.75" customHeight="1" x14ac:dyDescent="0.3">
      <c r="A70" s="59"/>
      <c r="B70" s="26" t="s">
        <v>22</v>
      </c>
      <c r="C70" s="33"/>
      <c r="D70" s="28"/>
      <c r="E70" s="28"/>
      <c r="F70" s="34"/>
      <c r="G70" s="28"/>
      <c r="H70" s="138"/>
      <c r="I70" s="165"/>
      <c r="J70" s="34"/>
      <c r="K70" s="62"/>
      <c r="L70" s="28"/>
      <c r="M70" s="181"/>
      <c r="N70" s="175"/>
      <c r="O70" s="36"/>
      <c r="P70" s="181"/>
      <c r="Q70" s="85"/>
      <c r="R70" s="35"/>
      <c r="S70" s="92"/>
      <c r="T70" s="85"/>
      <c r="U70" s="35"/>
      <c r="V70" s="92"/>
      <c r="W70" s="253"/>
      <c r="X70" s="254"/>
      <c r="Y70" s="255"/>
      <c r="Z70" s="198">
        <f>Z73</f>
        <v>0</v>
      </c>
      <c r="AA70" s="198">
        <f t="shared" ref="AA70:AE70" si="80">AA73</f>
        <v>0</v>
      </c>
      <c r="AB70" s="314">
        <f t="shared" si="80"/>
        <v>0</v>
      </c>
      <c r="AC70" s="198">
        <f>AC73</f>
        <v>320000</v>
      </c>
      <c r="AD70" s="198">
        <f t="shared" si="80"/>
        <v>0</v>
      </c>
      <c r="AE70" s="314">
        <f t="shared" si="80"/>
        <v>320000</v>
      </c>
      <c r="AF70" s="198">
        <f>AF73</f>
        <v>320109.5</v>
      </c>
      <c r="AG70" s="198">
        <f t="shared" ref="AG70:AH70" si="81">AG73</f>
        <v>0</v>
      </c>
      <c r="AH70" s="198">
        <f t="shared" si="81"/>
        <v>320109.5</v>
      </c>
    </row>
    <row r="71" spans="1:35" ht="18.75" customHeight="1" x14ac:dyDescent="0.3">
      <c r="A71" s="59"/>
      <c r="B71" s="6" t="s">
        <v>23</v>
      </c>
      <c r="C71" s="13"/>
      <c r="D71" s="7"/>
      <c r="E71" s="7"/>
      <c r="F71" s="12"/>
      <c r="G71" s="7"/>
      <c r="H71" s="137"/>
      <c r="I71" s="105"/>
      <c r="J71" s="12"/>
      <c r="K71" s="44"/>
      <c r="L71" s="7"/>
      <c r="M71" s="179"/>
      <c r="N71" s="174"/>
      <c r="O71" s="71"/>
      <c r="P71" s="179"/>
      <c r="Q71" s="95"/>
      <c r="R71" s="69"/>
      <c r="S71" s="93"/>
      <c r="T71" s="95"/>
      <c r="U71" s="69"/>
      <c r="V71" s="93"/>
      <c r="W71" s="252">
        <f>W72+W73</f>
        <v>0</v>
      </c>
      <c r="X71" s="252">
        <f t="shared" ref="X71:Y71" si="82">X72+X73</f>
        <v>0</v>
      </c>
      <c r="Y71" s="256">
        <f t="shared" si="82"/>
        <v>0</v>
      </c>
      <c r="Z71" s="112">
        <f>Z72</f>
        <v>18010.5</v>
      </c>
      <c r="AA71" s="112">
        <f>AA72</f>
        <v>0</v>
      </c>
      <c r="AB71" s="112">
        <f>AB72</f>
        <v>18010.5</v>
      </c>
      <c r="AC71" s="178"/>
      <c r="AD71" s="112"/>
      <c r="AE71" s="184"/>
      <c r="AF71" s="178"/>
      <c r="AG71" s="2"/>
      <c r="AH71" s="96"/>
    </row>
    <row r="72" spans="1:35" ht="18.75" customHeight="1" x14ac:dyDescent="0.3">
      <c r="A72" s="59"/>
      <c r="B72" s="6" t="s">
        <v>35</v>
      </c>
      <c r="C72" s="13"/>
      <c r="D72" s="7"/>
      <c r="E72" s="7"/>
      <c r="F72" s="12"/>
      <c r="G72" s="7"/>
      <c r="H72" s="137"/>
      <c r="I72" s="105"/>
      <c r="J72" s="12"/>
      <c r="K72" s="44"/>
      <c r="L72" s="7"/>
      <c r="M72" s="179"/>
      <c r="N72" s="174"/>
      <c r="O72" s="71"/>
      <c r="P72" s="179"/>
      <c r="Q72" s="95"/>
      <c r="R72" s="69"/>
      <c r="S72" s="93"/>
      <c r="T72" s="95"/>
      <c r="U72" s="69"/>
      <c r="V72" s="93"/>
      <c r="W72" s="252">
        <f>18010.5-18010.5</f>
        <v>0</v>
      </c>
      <c r="X72" s="252"/>
      <c r="Y72" s="256">
        <f>W72+X72</f>
        <v>0</v>
      </c>
      <c r="Z72" s="112">
        <v>18010.5</v>
      </c>
      <c r="AA72" s="112"/>
      <c r="AB72" s="184">
        <f>Z72+AA72</f>
        <v>18010.5</v>
      </c>
      <c r="AC72" s="178"/>
      <c r="AD72" s="112"/>
      <c r="AE72" s="184"/>
      <c r="AF72" s="178"/>
      <c r="AG72" s="2"/>
      <c r="AH72" s="96"/>
    </row>
    <row r="73" spans="1:35" ht="18.75" customHeight="1" x14ac:dyDescent="0.3">
      <c r="A73" s="59"/>
      <c r="B73" s="6" t="s">
        <v>36</v>
      </c>
      <c r="C73" s="13"/>
      <c r="D73" s="7"/>
      <c r="E73" s="7"/>
      <c r="F73" s="12"/>
      <c r="G73" s="7"/>
      <c r="H73" s="137"/>
      <c r="I73" s="105"/>
      <c r="J73" s="12"/>
      <c r="K73" s="44"/>
      <c r="L73" s="7"/>
      <c r="M73" s="179"/>
      <c r="N73" s="174"/>
      <c r="O73" s="71"/>
      <c r="P73" s="179"/>
      <c r="Q73" s="95"/>
      <c r="R73" s="69"/>
      <c r="S73" s="93"/>
      <c r="T73" s="95"/>
      <c r="U73" s="69"/>
      <c r="V73" s="93"/>
      <c r="W73" s="252"/>
      <c r="X73" s="257"/>
      <c r="Y73" s="256"/>
      <c r="Z73" s="112">
        <f>320000-320000</f>
        <v>0</v>
      </c>
      <c r="AA73" s="112"/>
      <c r="AB73" s="184">
        <f>Z73+AA73</f>
        <v>0</v>
      </c>
      <c r="AC73" s="112">
        <f>320109.5-109.5</f>
        <v>320000</v>
      </c>
      <c r="AD73" s="112"/>
      <c r="AE73" s="184">
        <f>AC73+AD73</f>
        <v>320000</v>
      </c>
      <c r="AF73" s="2">
        <v>320109.5</v>
      </c>
      <c r="AG73" s="2"/>
      <c r="AH73" s="184">
        <f>AF73+AG73</f>
        <v>320109.5</v>
      </c>
    </row>
    <row r="74" spans="1:35" ht="154.5" customHeight="1" x14ac:dyDescent="0.3">
      <c r="A74" s="59">
        <v>24</v>
      </c>
      <c r="B74" s="63" t="s">
        <v>68</v>
      </c>
      <c r="C74" s="64"/>
      <c r="D74" s="65" t="s">
        <v>48</v>
      </c>
      <c r="E74" s="65">
        <v>2.35</v>
      </c>
      <c r="F74" s="66"/>
      <c r="G74" s="65"/>
      <c r="H74" s="143"/>
      <c r="I74" s="123">
        <v>600930.19999999995</v>
      </c>
      <c r="J74" s="66"/>
      <c r="K74" s="67"/>
      <c r="L74" s="65"/>
      <c r="M74" s="182">
        <f t="shared" ref="M74:AB74" si="83">M75+M76</f>
        <v>0</v>
      </c>
      <c r="N74" s="176">
        <f t="shared" si="83"/>
        <v>0</v>
      </c>
      <c r="O74" s="73">
        <f t="shared" si="83"/>
        <v>0</v>
      </c>
      <c r="P74" s="182">
        <f t="shared" si="83"/>
        <v>0</v>
      </c>
      <c r="Q74" s="176">
        <f t="shared" si="83"/>
        <v>4755.7</v>
      </c>
      <c r="R74" s="73">
        <f t="shared" si="83"/>
        <v>0</v>
      </c>
      <c r="S74" s="182">
        <f>Q74+R74</f>
        <v>4755.7</v>
      </c>
      <c r="T74" s="176">
        <f t="shared" si="83"/>
        <v>12485.300000000001</v>
      </c>
      <c r="U74" s="73">
        <f t="shared" si="83"/>
        <v>0</v>
      </c>
      <c r="V74" s="182">
        <f t="shared" si="83"/>
        <v>12485.300000000001</v>
      </c>
      <c r="W74" s="176">
        <f t="shared" si="83"/>
        <v>293670.5</v>
      </c>
      <c r="X74" s="176">
        <f t="shared" si="83"/>
        <v>0</v>
      </c>
      <c r="Y74" s="182">
        <f t="shared" si="83"/>
        <v>293670.5</v>
      </c>
      <c r="Z74" s="176">
        <f t="shared" si="83"/>
        <v>290018.7</v>
      </c>
      <c r="AA74" s="176">
        <f t="shared" si="83"/>
        <v>0</v>
      </c>
      <c r="AB74" s="182">
        <f t="shared" si="83"/>
        <v>290018.7</v>
      </c>
      <c r="AC74" s="221"/>
      <c r="AD74" s="116"/>
      <c r="AE74" s="229"/>
      <c r="AF74" s="258"/>
      <c r="AG74" s="259"/>
      <c r="AH74" s="260"/>
      <c r="AI74" s="40">
        <f>I74-M74-P74-S74-V74-Y74-AB74</f>
        <v>0</v>
      </c>
    </row>
    <row r="75" spans="1:35" ht="18.75" customHeight="1" x14ac:dyDescent="0.3">
      <c r="A75" s="59"/>
      <c r="B75" s="26" t="s">
        <v>22</v>
      </c>
      <c r="C75" s="33"/>
      <c r="D75" s="28"/>
      <c r="E75" s="28"/>
      <c r="F75" s="34"/>
      <c r="G75" s="28"/>
      <c r="H75" s="138"/>
      <c r="I75" s="92"/>
      <c r="J75" s="34"/>
      <c r="K75" s="62"/>
      <c r="L75" s="28"/>
      <c r="M75" s="181">
        <v>0</v>
      </c>
      <c r="N75" s="175"/>
      <c r="O75" s="36"/>
      <c r="P75" s="181">
        <f>N75+O75</f>
        <v>0</v>
      </c>
      <c r="Q75" s="85"/>
      <c r="R75" s="35"/>
      <c r="S75" s="92">
        <f>Q75+R75</f>
        <v>0</v>
      </c>
      <c r="T75" s="175"/>
      <c r="U75" s="36"/>
      <c r="V75" s="181"/>
      <c r="W75" s="175">
        <f>W78</f>
        <v>293670.5</v>
      </c>
      <c r="X75" s="175">
        <f t="shared" ref="X75:Y75" si="84">X78</f>
        <v>0</v>
      </c>
      <c r="Y75" s="181">
        <f t="shared" si="84"/>
        <v>293670.5</v>
      </c>
      <c r="Z75" s="175">
        <f>Z78</f>
        <v>290018.7</v>
      </c>
      <c r="AA75" s="175">
        <f t="shared" ref="AA75:AB75" si="85">AA78</f>
        <v>0</v>
      </c>
      <c r="AB75" s="181">
        <f t="shared" si="85"/>
        <v>290018.7</v>
      </c>
      <c r="AC75" s="198"/>
      <c r="AD75" s="113"/>
      <c r="AE75" s="216"/>
      <c r="AF75" s="198"/>
      <c r="AG75" s="198"/>
      <c r="AH75" s="216"/>
    </row>
    <row r="76" spans="1:35" ht="18.75" customHeight="1" x14ac:dyDescent="0.3">
      <c r="A76" s="59"/>
      <c r="B76" s="6" t="s">
        <v>23</v>
      </c>
      <c r="C76" s="13"/>
      <c r="D76" s="7"/>
      <c r="E76" s="7"/>
      <c r="F76" s="12"/>
      <c r="G76" s="7"/>
      <c r="H76" s="137"/>
      <c r="I76" s="93"/>
      <c r="J76" s="12"/>
      <c r="K76" s="44"/>
      <c r="L76" s="7"/>
      <c r="M76" s="179">
        <v>0</v>
      </c>
      <c r="N76" s="174">
        <f>N77+N78</f>
        <v>0</v>
      </c>
      <c r="O76" s="71">
        <f t="shared" ref="O76:R76" si="86">O77+O78</f>
        <v>0</v>
      </c>
      <c r="P76" s="179">
        <f t="shared" si="86"/>
        <v>0</v>
      </c>
      <c r="Q76" s="174">
        <f t="shared" si="86"/>
        <v>4755.7</v>
      </c>
      <c r="R76" s="49">
        <f t="shared" si="86"/>
        <v>0</v>
      </c>
      <c r="S76" s="206">
        <f>Q76+R76</f>
        <v>4755.7</v>
      </c>
      <c r="T76" s="174">
        <f t="shared" ref="T76:U76" si="87">T77+T78</f>
        <v>12485.300000000001</v>
      </c>
      <c r="U76" s="71">
        <f t="shared" si="87"/>
        <v>0</v>
      </c>
      <c r="V76" s="179">
        <f>T76+U76</f>
        <v>12485.300000000001</v>
      </c>
      <c r="W76" s="178"/>
      <c r="X76" s="112"/>
      <c r="Y76" s="184"/>
      <c r="Z76" s="178"/>
      <c r="AA76" s="112"/>
      <c r="AB76" s="184"/>
      <c r="AC76" s="178"/>
      <c r="AD76" s="112"/>
      <c r="AE76" s="184"/>
      <c r="AF76" s="178"/>
      <c r="AG76" s="2"/>
      <c r="AH76" s="96"/>
    </row>
    <row r="77" spans="1:35" ht="19.5" customHeight="1" x14ac:dyDescent="0.3">
      <c r="A77" s="59"/>
      <c r="B77" s="6" t="s">
        <v>35</v>
      </c>
      <c r="C77" s="13"/>
      <c r="D77" s="7"/>
      <c r="E77" s="7"/>
      <c r="F77" s="12"/>
      <c r="G77" s="7"/>
      <c r="H77" s="137"/>
      <c r="I77" s="93"/>
      <c r="J77" s="12"/>
      <c r="K77" s="44"/>
      <c r="L77" s="7"/>
      <c r="M77" s="179">
        <v>0</v>
      </c>
      <c r="N77" s="174">
        <f>10531.7-10531.7</f>
        <v>0</v>
      </c>
      <c r="O77" s="71"/>
      <c r="P77" s="179">
        <f t="shared" ref="P77:P78" si="88">N77+O77</f>
        <v>0</v>
      </c>
      <c r="Q77" s="174">
        <f>3057.5+1698.2</f>
        <v>4755.7</v>
      </c>
      <c r="R77" s="49"/>
      <c r="S77" s="206">
        <f t="shared" ref="S77:S78" si="89">Q77+R77</f>
        <v>4755.7</v>
      </c>
      <c r="T77" s="174">
        <f>10531.7+1953.6</f>
        <v>12485.300000000001</v>
      </c>
      <c r="U77" s="71"/>
      <c r="V77" s="179">
        <f>T77+U77</f>
        <v>12485.300000000001</v>
      </c>
      <c r="W77" s="178"/>
      <c r="X77" s="112"/>
      <c r="Y77" s="184"/>
      <c r="Z77" s="178"/>
      <c r="AA77" s="112"/>
      <c r="AB77" s="184"/>
      <c r="AC77" s="178"/>
      <c r="AD77" s="112"/>
      <c r="AE77" s="184"/>
      <c r="AF77" s="178"/>
      <c r="AG77" s="2"/>
      <c r="AH77" s="96"/>
    </row>
    <row r="78" spans="1:35" ht="19.5" customHeight="1" x14ac:dyDescent="0.3">
      <c r="A78" s="59"/>
      <c r="B78" s="6" t="s">
        <v>39</v>
      </c>
      <c r="C78" s="13"/>
      <c r="D78" s="7"/>
      <c r="E78" s="7"/>
      <c r="F78" s="12"/>
      <c r="G78" s="7"/>
      <c r="H78" s="137"/>
      <c r="I78" s="93"/>
      <c r="J78" s="12"/>
      <c r="K78" s="44"/>
      <c r="L78" s="7"/>
      <c r="M78" s="179">
        <v>0</v>
      </c>
      <c r="N78" s="95"/>
      <c r="O78" s="69"/>
      <c r="P78" s="179">
        <f t="shared" si="88"/>
        <v>0</v>
      </c>
      <c r="Q78" s="95"/>
      <c r="R78" s="69"/>
      <c r="S78" s="179">
        <f t="shared" si="89"/>
        <v>0</v>
      </c>
      <c r="T78" s="95"/>
      <c r="U78" s="69"/>
      <c r="V78" s="93"/>
      <c r="W78" s="95">
        <v>293670.5</v>
      </c>
      <c r="X78" s="69"/>
      <c r="Y78" s="93">
        <f>W78+X78</f>
        <v>293670.5</v>
      </c>
      <c r="Z78" s="95">
        <f>293670.5-3651.8</f>
        <v>290018.7</v>
      </c>
      <c r="AA78" s="69"/>
      <c r="AB78" s="93">
        <f>Z78+AA78</f>
        <v>290018.7</v>
      </c>
      <c r="AC78" s="178"/>
      <c r="AD78" s="112"/>
      <c r="AE78" s="184"/>
      <c r="AF78" s="178"/>
      <c r="AG78" s="2"/>
      <c r="AH78" s="96"/>
    </row>
    <row r="79" spans="1:35" ht="141" customHeight="1" x14ac:dyDescent="0.3">
      <c r="A79" s="59">
        <v>25</v>
      </c>
      <c r="B79" s="63" t="s">
        <v>69</v>
      </c>
      <c r="C79" s="64"/>
      <c r="D79" s="65" t="s">
        <v>50</v>
      </c>
      <c r="E79" s="65">
        <v>8.2609999999999992</v>
      </c>
      <c r="F79" s="66"/>
      <c r="G79" s="65"/>
      <c r="H79" s="143"/>
      <c r="I79" s="123">
        <f>2007324+8527.6-115.1</f>
        <v>2015736.5</v>
      </c>
      <c r="J79" s="66"/>
      <c r="K79" s="67"/>
      <c r="L79" s="65"/>
      <c r="M79" s="182">
        <f t="shared" ref="M79:AH79" si="90">M80+M81</f>
        <v>0</v>
      </c>
      <c r="N79" s="176">
        <f t="shared" si="90"/>
        <v>0</v>
      </c>
      <c r="O79" s="73">
        <f t="shared" si="90"/>
        <v>0</v>
      </c>
      <c r="P79" s="182">
        <f t="shared" si="90"/>
        <v>0</v>
      </c>
      <c r="Q79" s="176">
        <f t="shared" si="90"/>
        <v>0</v>
      </c>
      <c r="R79" s="73">
        <f t="shared" si="90"/>
        <v>0</v>
      </c>
      <c r="S79" s="182">
        <f t="shared" si="90"/>
        <v>0</v>
      </c>
      <c r="T79" s="176">
        <f t="shared" si="90"/>
        <v>0</v>
      </c>
      <c r="U79" s="73">
        <f t="shared" si="90"/>
        <v>0</v>
      </c>
      <c r="V79" s="182">
        <f t="shared" si="90"/>
        <v>0</v>
      </c>
      <c r="W79" s="176">
        <f t="shared" si="90"/>
        <v>0</v>
      </c>
      <c r="X79" s="176">
        <f t="shared" si="90"/>
        <v>0</v>
      </c>
      <c r="Y79" s="182">
        <f t="shared" si="90"/>
        <v>0</v>
      </c>
      <c r="Z79" s="176">
        <f t="shared" si="90"/>
        <v>6537.2000000000007</v>
      </c>
      <c r="AA79" s="176">
        <f t="shared" si="90"/>
        <v>0</v>
      </c>
      <c r="AB79" s="182">
        <f t="shared" si="90"/>
        <v>6537.2000000000007</v>
      </c>
      <c r="AC79" s="176">
        <f t="shared" si="90"/>
        <v>15776.9</v>
      </c>
      <c r="AD79" s="176">
        <f t="shared" si="90"/>
        <v>0</v>
      </c>
      <c r="AE79" s="182">
        <f t="shared" si="90"/>
        <v>15776.9</v>
      </c>
      <c r="AF79" s="176">
        <f t="shared" si="90"/>
        <v>1993422.4</v>
      </c>
      <c r="AG79" s="176">
        <f t="shared" si="90"/>
        <v>0</v>
      </c>
      <c r="AH79" s="182">
        <f t="shared" si="90"/>
        <v>1993422.4</v>
      </c>
      <c r="AI79" s="40">
        <f>I79-Y79-AB79-AE79-AH79</f>
        <v>0</v>
      </c>
    </row>
    <row r="80" spans="1:35" ht="19.5" customHeight="1" x14ac:dyDescent="0.3">
      <c r="A80" s="59"/>
      <c r="B80" s="26" t="s">
        <v>22</v>
      </c>
      <c r="C80" s="33"/>
      <c r="D80" s="28"/>
      <c r="E80" s="28"/>
      <c r="F80" s="34"/>
      <c r="G80" s="28"/>
      <c r="H80" s="138"/>
      <c r="I80" s="92"/>
      <c r="J80" s="34"/>
      <c r="K80" s="62"/>
      <c r="L80" s="28"/>
      <c r="M80" s="181"/>
      <c r="N80" s="175"/>
      <c r="O80" s="36"/>
      <c r="P80" s="181">
        <f>N80+O80</f>
        <v>0</v>
      </c>
      <c r="Q80" s="85"/>
      <c r="R80" s="35"/>
      <c r="S80" s="92">
        <f>Q80+R80</f>
        <v>0</v>
      </c>
      <c r="T80" s="85"/>
      <c r="U80" s="35"/>
      <c r="V80" s="92"/>
      <c r="W80" s="85"/>
      <c r="X80" s="35"/>
      <c r="Y80" s="92"/>
      <c r="Z80" s="85"/>
      <c r="AA80" s="35"/>
      <c r="AB80" s="92"/>
      <c r="AC80" s="85">
        <f>AC83</f>
        <v>0</v>
      </c>
      <c r="AD80" s="85">
        <f t="shared" ref="AD80:AE80" si="91">AD83</f>
        <v>0</v>
      </c>
      <c r="AE80" s="92">
        <f t="shared" si="91"/>
        <v>0</v>
      </c>
      <c r="AF80" s="85">
        <f>AF83</f>
        <v>1993422.4</v>
      </c>
      <c r="AG80" s="85">
        <f t="shared" ref="AG80:AH80" si="92">AG83</f>
        <v>0</v>
      </c>
      <c r="AH80" s="92">
        <f t="shared" si="92"/>
        <v>1993422.4</v>
      </c>
    </row>
    <row r="81" spans="1:36" ht="19.5" customHeight="1" x14ac:dyDescent="0.3">
      <c r="A81" s="59"/>
      <c r="B81" s="6" t="s">
        <v>23</v>
      </c>
      <c r="C81" s="13"/>
      <c r="D81" s="7"/>
      <c r="E81" s="7"/>
      <c r="F81" s="12"/>
      <c r="G81" s="7"/>
      <c r="H81" s="137"/>
      <c r="I81" s="93"/>
      <c r="J81" s="12"/>
      <c r="K81" s="44"/>
      <c r="L81" s="7"/>
      <c r="M81" s="93">
        <v>0</v>
      </c>
      <c r="N81" s="95">
        <f t="shared" ref="N81:O81" si="93">N82+N83</f>
        <v>0</v>
      </c>
      <c r="O81" s="69">
        <f t="shared" si="93"/>
        <v>0</v>
      </c>
      <c r="P81" s="93">
        <f>N81+O81</f>
        <v>0</v>
      </c>
      <c r="Q81" s="95">
        <f>Q82</f>
        <v>0</v>
      </c>
      <c r="R81" s="69">
        <f t="shared" ref="R81:S81" si="94">R82</f>
        <v>0</v>
      </c>
      <c r="S81" s="93">
        <f t="shared" si="94"/>
        <v>0</v>
      </c>
      <c r="T81" s="95"/>
      <c r="U81" s="69"/>
      <c r="V81" s="93"/>
      <c r="W81" s="95">
        <f>W82+W83</f>
        <v>0</v>
      </c>
      <c r="X81" s="69">
        <f t="shared" ref="X81:Y81" si="95">X82+X83</f>
        <v>0</v>
      </c>
      <c r="Y81" s="93">
        <f t="shared" si="95"/>
        <v>0</v>
      </c>
      <c r="Z81" s="95">
        <f>Z82+Z83</f>
        <v>6537.2000000000007</v>
      </c>
      <c r="AA81" s="95">
        <f t="shared" ref="AA81:AB81" si="96">AA82+AA83</f>
        <v>0</v>
      </c>
      <c r="AB81" s="93">
        <f t="shared" si="96"/>
        <v>6537.2000000000007</v>
      </c>
      <c r="AC81" s="95">
        <f>AC82</f>
        <v>15776.9</v>
      </c>
      <c r="AD81" s="95">
        <f t="shared" ref="AD81:AF81" si="97">AD82</f>
        <v>0</v>
      </c>
      <c r="AE81" s="93">
        <f t="shared" si="97"/>
        <v>15776.9</v>
      </c>
      <c r="AF81" s="95">
        <f t="shared" si="97"/>
        <v>0</v>
      </c>
      <c r="AG81" s="2"/>
      <c r="AH81" s="96"/>
    </row>
    <row r="82" spans="1:36" ht="19.5" customHeight="1" x14ac:dyDescent="0.3">
      <c r="A82" s="59"/>
      <c r="B82" s="6" t="s">
        <v>35</v>
      </c>
      <c r="C82" s="13"/>
      <c r="D82" s="7"/>
      <c r="E82" s="7"/>
      <c r="F82" s="12"/>
      <c r="G82" s="7"/>
      <c r="H82" s="137"/>
      <c r="I82" s="105"/>
      <c r="J82" s="12"/>
      <c r="K82" s="44"/>
      <c r="L82" s="7"/>
      <c r="M82" s="93">
        <v>0</v>
      </c>
      <c r="N82" s="174">
        <f>3662+2328.8-5990.8</f>
        <v>0</v>
      </c>
      <c r="O82" s="71"/>
      <c r="P82" s="93">
        <f t="shared" ref="P82:P83" si="98">N82+O82</f>
        <v>0</v>
      </c>
      <c r="Q82" s="95">
        <f>9781.2-35.5-9745.7</f>
        <v>0</v>
      </c>
      <c r="R82" s="69"/>
      <c r="S82" s="93">
        <f t="shared" ref="S82:S83" si="99">Q82+R82</f>
        <v>0</v>
      </c>
      <c r="T82" s="190"/>
      <c r="U82" s="50"/>
      <c r="V82" s="204"/>
      <c r="W82" s="201">
        <f>5990.8-5990.8</f>
        <v>0</v>
      </c>
      <c r="X82" s="163"/>
      <c r="Y82" s="219">
        <f>W82+X82</f>
        <v>0</v>
      </c>
      <c r="Z82" s="213">
        <f>9745.7-3208.5</f>
        <v>6537.2000000000007</v>
      </c>
      <c r="AA82" s="164"/>
      <c r="AB82" s="225">
        <f>Z82+AA82</f>
        <v>6537.2000000000007</v>
      </c>
      <c r="AC82" s="162">
        <v>15776.9</v>
      </c>
      <c r="AD82" s="162"/>
      <c r="AE82" s="230">
        <f>AC82+AD82</f>
        <v>15776.9</v>
      </c>
      <c r="AF82" s="222"/>
      <c r="AG82" s="2"/>
      <c r="AH82" s="96"/>
    </row>
    <row r="83" spans="1:36" ht="19.5" customHeight="1" x14ac:dyDescent="0.3">
      <c r="A83" s="59"/>
      <c r="B83" s="6" t="s">
        <v>39</v>
      </c>
      <c r="C83" s="13"/>
      <c r="D83" s="7"/>
      <c r="E83" s="7"/>
      <c r="F83" s="12"/>
      <c r="G83" s="7"/>
      <c r="H83" s="137"/>
      <c r="I83" s="105"/>
      <c r="J83" s="12"/>
      <c r="K83" s="44"/>
      <c r="L83" s="7"/>
      <c r="M83" s="93">
        <v>0</v>
      </c>
      <c r="N83" s="174"/>
      <c r="O83" s="71"/>
      <c r="P83" s="93">
        <f t="shared" si="98"/>
        <v>0</v>
      </c>
      <c r="Q83" s="95"/>
      <c r="R83" s="69"/>
      <c r="S83" s="93">
        <f t="shared" si="99"/>
        <v>0</v>
      </c>
      <c r="T83" s="95"/>
      <c r="U83" s="69"/>
      <c r="V83" s="93"/>
      <c r="W83" s="84"/>
      <c r="X83" s="48"/>
      <c r="Y83" s="91"/>
      <c r="Z83" s="84"/>
      <c r="AA83" s="48"/>
      <c r="AB83" s="91"/>
      <c r="AC83" s="84">
        <f>1000000-1000000</f>
        <v>0</v>
      </c>
      <c r="AD83" s="48"/>
      <c r="AE83" s="91">
        <f>AC83+AD83</f>
        <v>0</v>
      </c>
      <c r="AF83" s="84">
        <f>1000000+993422.4</f>
        <v>1993422.4</v>
      </c>
      <c r="AG83" s="164"/>
      <c r="AH83" s="225">
        <f>AF83+AG83</f>
        <v>1993422.4</v>
      </c>
    </row>
    <row r="84" spans="1:36" ht="143.25" customHeight="1" x14ac:dyDescent="0.3">
      <c r="A84" s="59">
        <v>26</v>
      </c>
      <c r="B84" s="63" t="s">
        <v>70</v>
      </c>
      <c r="C84" s="64"/>
      <c r="D84" s="65" t="s">
        <v>50</v>
      </c>
      <c r="E84" s="65">
        <v>7.5890000000000004</v>
      </c>
      <c r="F84" s="66"/>
      <c r="G84" s="65"/>
      <c r="H84" s="143"/>
      <c r="I84" s="123">
        <v>1019376.3</v>
      </c>
      <c r="J84" s="100"/>
      <c r="K84" s="72"/>
      <c r="L84" s="68"/>
      <c r="M84" s="182">
        <f t="shared" ref="M84" si="100">M85+M86</f>
        <v>0</v>
      </c>
      <c r="N84" s="176">
        <f>N85+N86</f>
        <v>0</v>
      </c>
      <c r="O84" s="73">
        <f t="shared" ref="O84:AH84" si="101">O85+O86</f>
        <v>0</v>
      </c>
      <c r="P84" s="182">
        <f t="shared" si="101"/>
        <v>0</v>
      </c>
      <c r="Q84" s="176">
        <f t="shared" si="101"/>
        <v>0</v>
      </c>
      <c r="R84" s="73">
        <f t="shared" si="101"/>
        <v>0</v>
      </c>
      <c r="S84" s="182">
        <f>Q84+R84</f>
        <v>0</v>
      </c>
      <c r="T84" s="176">
        <f t="shared" si="101"/>
        <v>0</v>
      </c>
      <c r="U84" s="73">
        <f t="shared" si="101"/>
        <v>0</v>
      </c>
      <c r="V84" s="182">
        <f t="shared" si="101"/>
        <v>0</v>
      </c>
      <c r="W84" s="176">
        <f t="shared" si="101"/>
        <v>0</v>
      </c>
      <c r="X84" s="176">
        <f t="shared" si="101"/>
        <v>0</v>
      </c>
      <c r="Y84" s="182">
        <f t="shared" si="101"/>
        <v>0</v>
      </c>
      <c r="Z84" s="176">
        <f t="shared" si="101"/>
        <v>6515.6</v>
      </c>
      <c r="AA84" s="176">
        <f t="shared" si="101"/>
        <v>0</v>
      </c>
      <c r="AB84" s="182">
        <f t="shared" si="101"/>
        <v>6515.6</v>
      </c>
      <c r="AC84" s="176">
        <f t="shared" si="101"/>
        <v>25186.400000000001</v>
      </c>
      <c r="AD84" s="176">
        <f t="shared" si="101"/>
        <v>0</v>
      </c>
      <c r="AE84" s="182">
        <f t="shared" si="101"/>
        <v>25186.400000000001</v>
      </c>
      <c r="AF84" s="176">
        <f t="shared" si="101"/>
        <v>987674.3</v>
      </c>
      <c r="AG84" s="176">
        <f t="shared" si="101"/>
        <v>0</v>
      </c>
      <c r="AH84" s="182">
        <f t="shared" si="101"/>
        <v>987674.3</v>
      </c>
      <c r="AI84" s="238">
        <f>I84-Y84-AB84-AE84-AH84</f>
        <v>0</v>
      </c>
    </row>
    <row r="85" spans="1:36" ht="21" customHeight="1" x14ac:dyDescent="0.3">
      <c r="A85" s="59"/>
      <c r="B85" s="26" t="s">
        <v>22</v>
      </c>
      <c r="C85" s="33"/>
      <c r="D85" s="28"/>
      <c r="E85" s="28"/>
      <c r="F85" s="34"/>
      <c r="G85" s="28"/>
      <c r="H85" s="138"/>
      <c r="I85" s="92"/>
      <c r="J85" s="85"/>
      <c r="K85" s="74"/>
      <c r="L85" s="35"/>
      <c r="M85" s="181"/>
      <c r="N85" s="175"/>
      <c r="O85" s="36"/>
      <c r="P85" s="181"/>
      <c r="Q85" s="85"/>
      <c r="R85" s="35"/>
      <c r="S85" s="92">
        <f>Q85+R85</f>
        <v>0</v>
      </c>
      <c r="T85" s="189"/>
      <c r="U85" s="37"/>
      <c r="V85" s="203"/>
      <c r="W85" s="198"/>
      <c r="X85" s="113"/>
      <c r="Y85" s="216"/>
      <c r="Z85" s="198"/>
      <c r="AA85" s="113"/>
      <c r="AB85" s="216"/>
      <c r="AC85" s="198">
        <f>AC88</f>
        <v>0</v>
      </c>
      <c r="AD85" s="198">
        <f t="shared" ref="AD85:AE85" si="102">AD88</f>
        <v>0</v>
      </c>
      <c r="AE85" s="216">
        <f t="shared" si="102"/>
        <v>0</v>
      </c>
      <c r="AF85" s="198">
        <f>AF88</f>
        <v>987674.3</v>
      </c>
      <c r="AG85" s="198">
        <f t="shared" ref="AG85:AH85" si="103">AG88</f>
        <v>0</v>
      </c>
      <c r="AH85" s="216">
        <f t="shared" si="103"/>
        <v>987674.3</v>
      </c>
    </row>
    <row r="86" spans="1:36" ht="21" customHeight="1" x14ac:dyDescent="0.3">
      <c r="A86" s="59"/>
      <c r="B86" s="6" t="s">
        <v>23</v>
      </c>
      <c r="C86" s="13"/>
      <c r="D86" s="7"/>
      <c r="E86" s="7"/>
      <c r="F86" s="12"/>
      <c r="G86" s="7"/>
      <c r="H86" s="137"/>
      <c r="I86" s="93"/>
      <c r="J86" s="95"/>
      <c r="K86" s="70"/>
      <c r="L86" s="69"/>
      <c r="M86" s="93">
        <f t="shared" ref="M86" si="104">M87+M88</f>
        <v>0</v>
      </c>
      <c r="N86" s="95">
        <f>N87+N88</f>
        <v>0</v>
      </c>
      <c r="O86" s="69">
        <f t="shared" ref="O86:P86" si="105">O87+O88</f>
        <v>0</v>
      </c>
      <c r="P86" s="93">
        <f t="shared" si="105"/>
        <v>0</v>
      </c>
      <c r="Q86" s="95">
        <f>Q87</f>
        <v>0</v>
      </c>
      <c r="R86" s="69">
        <f t="shared" ref="R86:S86" si="106">R87</f>
        <v>0</v>
      </c>
      <c r="S86" s="93">
        <f t="shared" si="106"/>
        <v>0</v>
      </c>
      <c r="T86" s="191"/>
      <c r="U86" s="75"/>
      <c r="V86" s="205"/>
      <c r="W86" s="95">
        <f>W87+W88</f>
        <v>0</v>
      </c>
      <c r="X86" s="95">
        <f t="shared" ref="X86:Y86" si="107">X87+X88</f>
        <v>0</v>
      </c>
      <c r="Y86" s="93">
        <f t="shared" si="107"/>
        <v>0</v>
      </c>
      <c r="Z86" s="95">
        <f>Z87</f>
        <v>6515.6</v>
      </c>
      <c r="AA86" s="95">
        <f t="shared" ref="AA86:AB86" si="108">AA87</f>
        <v>0</v>
      </c>
      <c r="AB86" s="93">
        <f t="shared" si="108"/>
        <v>6515.6</v>
      </c>
      <c r="AC86" s="178">
        <f>AC87</f>
        <v>25186.400000000001</v>
      </c>
      <c r="AD86" s="178">
        <f t="shared" ref="AD86:AE86" si="109">AD87</f>
        <v>0</v>
      </c>
      <c r="AE86" s="184">
        <f t="shared" si="109"/>
        <v>25186.400000000001</v>
      </c>
      <c r="AF86" s="178"/>
      <c r="AG86" s="2"/>
      <c r="AH86" s="96"/>
    </row>
    <row r="87" spans="1:36" ht="19.5" customHeight="1" x14ac:dyDescent="0.3">
      <c r="A87" s="59"/>
      <c r="B87" s="6" t="s">
        <v>35</v>
      </c>
      <c r="C87" s="13"/>
      <c r="D87" s="7"/>
      <c r="E87" s="7"/>
      <c r="F87" s="12"/>
      <c r="G87" s="7"/>
      <c r="H87" s="137"/>
      <c r="I87" s="93"/>
      <c r="J87" s="95"/>
      <c r="K87" s="70"/>
      <c r="L87" s="69"/>
      <c r="M87" s="93">
        <v>0</v>
      </c>
      <c r="N87" s="95">
        <f>3581.5+2233.7-5815.2</f>
        <v>0</v>
      </c>
      <c r="O87" s="69"/>
      <c r="P87" s="93">
        <f t="shared" ref="P87:P88" si="110">N87+O87</f>
        <v>0</v>
      </c>
      <c r="Q87" s="95">
        <f>13496.6+64.5-13561.1</f>
        <v>0</v>
      </c>
      <c r="R87" s="69"/>
      <c r="S87" s="93">
        <f t="shared" ref="S87:S89" si="111">Q87+R87</f>
        <v>0</v>
      </c>
      <c r="T87" s="191"/>
      <c r="U87" s="75"/>
      <c r="V87" s="205"/>
      <c r="W87" s="95">
        <f>3581.5+2233.7-5815.2</f>
        <v>0</v>
      </c>
      <c r="X87" s="69"/>
      <c r="Y87" s="93">
        <f>W87+X87</f>
        <v>0</v>
      </c>
      <c r="Z87" s="95">
        <f>13496.6+64.5-7045.5</f>
        <v>6515.6</v>
      </c>
      <c r="AA87" s="69"/>
      <c r="AB87" s="93">
        <f>Z87+AA87</f>
        <v>6515.6</v>
      </c>
      <c r="AC87" s="112">
        <v>25186.400000000001</v>
      </c>
      <c r="AD87" s="112"/>
      <c r="AE87" s="184">
        <f>AC87+AD87</f>
        <v>25186.400000000001</v>
      </c>
      <c r="AF87" s="178"/>
      <c r="AG87" s="2"/>
      <c r="AH87" s="96"/>
    </row>
    <row r="88" spans="1:36" ht="19.5" customHeight="1" x14ac:dyDescent="0.3">
      <c r="A88" s="59"/>
      <c r="B88" s="6" t="s">
        <v>39</v>
      </c>
      <c r="C88" s="13"/>
      <c r="D88" s="7"/>
      <c r="E88" s="7"/>
      <c r="F88" s="12"/>
      <c r="G88" s="7"/>
      <c r="H88" s="137"/>
      <c r="I88" s="93"/>
      <c r="J88" s="95"/>
      <c r="K88" s="70"/>
      <c r="L88" s="69"/>
      <c r="M88" s="93"/>
      <c r="N88" s="95"/>
      <c r="O88" s="69"/>
      <c r="P88" s="93">
        <f t="shared" si="110"/>
        <v>0</v>
      </c>
      <c r="Q88" s="95"/>
      <c r="R88" s="69"/>
      <c r="S88" s="93">
        <f t="shared" si="111"/>
        <v>0</v>
      </c>
      <c r="T88" s="191"/>
      <c r="U88" s="75"/>
      <c r="V88" s="205"/>
      <c r="W88" s="178"/>
      <c r="X88" s="112"/>
      <c r="Y88" s="184"/>
      <c r="Z88" s="178"/>
      <c r="AA88" s="112"/>
      <c r="AB88" s="184"/>
      <c r="AC88" s="178">
        <f>500000-500000</f>
        <v>0</v>
      </c>
      <c r="AD88" s="112"/>
      <c r="AE88" s="184">
        <f>AC88+AD88</f>
        <v>0</v>
      </c>
      <c r="AF88" s="178">
        <f>500000+487674.3</f>
        <v>987674.3</v>
      </c>
      <c r="AG88" s="2"/>
      <c r="AH88" s="184">
        <f>AF88+AG88</f>
        <v>987674.3</v>
      </c>
    </row>
    <row r="89" spans="1:36" ht="135.75" customHeight="1" x14ac:dyDescent="0.3">
      <c r="A89" s="353"/>
      <c r="B89" s="6" t="s">
        <v>117</v>
      </c>
      <c r="C89" s="8" t="s">
        <v>47</v>
      </c>
      <c r="D89" s="7" t="s">
        <v>50</v>
      </c>
      <c r="E89" s="7">
        <v>21.492999999999999</v>
      </c>
      <c r="F89" s="7"/>
      <c r="G89" s="7"/>
      <c r="H89" s="38">
        <v>117560.10248</v>
      </c>
      <c r="I89" s="89">
        <f>17414460+202+1380.002</f>
        <v>17416042.002</v>
      </c>
      <c r="J89" s="12"/>
      <c r="K89" s="7"/>
      <c r="L89" s="9"/>
      <c r="M89" s="91">
        <f t="shared" ref="M89" si="112">M90+M91</f>
        <v>0</v>
      </c>
      <c r="N89" s="174">
        <f>N90+N91</f>
        <v>0</v>
      </c>
      <c r="O89" s="71">
        <f t="shared" ref="O89:AH89" si="113">O90+O91</f>
        <v>0</v>
      </c>
      <c r="P89" s="179">
        <f t="shared" si="113"/>
        <v>0</v>
      </c>
      <c r="Q89" s="174">
        <f t="shared" si="113"/>
        <v>0</v>
      </c>
      <c r="R89" s="71"/>
      <c r="S89" s="93">
        <f t="shared" si="111"/>
        <v>0</v>
      </c>
      <c r="T89" s="174">
        <f t="shared" si="113"/>
        <v>0</v>
      </c>
      <c r="U89" s="71"/>
      <c r="V89" s="179"/>
      <c r="W89" s="174">
        <f t="shared" si="113"/>
        <v>4001380</v>
      </c>
      <c r="X89" s="174">
        <f t="shared" si="113"/>
        <v>0</v>
      </c>
      <c r="Y89" s="179">
        <f t="shared" si="113"/>
        <v>4001380</v>
      </c>
      <c r="Z89" s="174">
        <f t="shared" si="113"/>
        <v>4000000</v>
      </c>
      <c r="AA89" s="174">
        <f t="shared" si="113"/>
        <v>0</v>
      </c>
      <c r="AB89" s="179">
        <f t="shared" si="113"/>
        <v>4000000</v>
      </c>
      <c r="AC89" s="174">
        <f t="shared" si="113"/>
        <v>3600000</v>
      </c>
      <c r="AD89" s="174">
        <f t="shared" si="113"/>
        <v>0</v>
      </c>
      <c r="AE89" s="179">
        <f t="shared" si="113"/>
        <v>3600000</v>
      </c>
      <c r="AF89" s="226">
        <f t="shared" si="113"/>
        <v>5697099.8999999994</v>
      </c>
      <c r="AG89" s="226">
        <f t="shared" si="113"/>
        <v>0</v>
      </c>
      <c r="AH89" s="286">
        <f t="shared" si="113"/>
        <v>5697099.8999999994</v>
      </c>
      <c r="AI89" s="263">
        <f>I89-M89-P89-S89-V89-Y89-AB89-AE89-AH89</f>
        <v>117562.10200000089</v>
      </c>
      <c r="AJ89" s="300" t="s">
        <v>96</v>
      </c>
    </row>
    <row r="90" spans="1:36" ht="27" customHeight="1" x14ac:dyDescent="0.3">
      <c r="A90" s="353"/>
      <c r="B90" s="26" t="s">
        <v>22</v>
      </c>
      <c r="C90" s="8"/>
      <c r="D90" s="28"/>
      <c r="E90" s="28"/>
      <c r="F90" s="28"/>
      <c r="G90" s="28"/>
      <c r="H90" s="138"/>
      <c r="I90" s="90"/>
      <c r="J90" s="34"/>
      <c r="K90" s="28"/>
      <c r="L90" s="19"/>
      <c r="M90" s="181"/>
      <c r="N90" s="175"/>
      <c r="O90" s="36"/>
      <c r="P90" s="181">
        <f>N90+O90</f>
        <v>0</v>
      </c>
      <c r="Q90" s="175"/>
      <c r="R90" s="36"/>
      <c r="S90" s="181">
        <f>Q90+R90</f>
        <v>0</v>
      </c>
      <c r="T90" s="175"/>
      <c r="U90" s="36"/>
      <c r="V90" s="181"/>
      <c r="W90" s="189">
        <f>W93</f>
        <v>4000000</v>
      </c>
      <c r="X90" s="189">
        <f t="shared" ref="X90:Y90" si="114">X93</f>
        <v>0</v>
      </c>
      <c r="Y90" s="203">
        <f t="shared" si="114"/>
        <v>4000000</v>
      </c>
      <c r="Z90" s="189">
        <f>Z93</f>
        <v>4000000</v>
      </c>
      <c r="AA90" s="189">
        <f t="shared" ref="AA90:AB90" si="115">AA93</f>
        <v>0</v>
      </c>
      <c r="AB90" s="203">
        <f t="shared" si="115"/>
        <v>4000000</v>
      </c>
      <c r="AC90" s="189">
        <f>AC93</f>
        <v>3600000</v>
      </c>
      <c r="AD90" s="189">
        <f t="shared" ref="AD90:AE90" si="116">AD93</f>
        <v>0</v>
      </c>
      <c r="AE90" s="203">
        <f t="shared" si="116"/>
        <v>3600000</v>
      </c>
      <c r="AF90" s="227">
        <f>AF93</f>
        <v>5697099.8999999994</v>
      </c>
      <c r="AG90" s="227">
        <f>AG93</f>
        <v>0</v>
      </c>
      <c r="AH90" s="287">
        <f>AH93</f>
        <v>5697099.8999999994</v>
      </c>
    </row>
    <row r="91" spans="1:36" ht="27" customHeight="1" x14ac:dyDescent="0.3">
      <c r="A91" s="353"/>
      <c r="B91" s="6" t="s">
        <v>23</v>
      </c>
      <c r="C91" s="8"/>
      <c r="D91" s="7"/>
      <c r="E91" s="7"/>
      <c r="F91" s="7"/>
      <c r="G91" s="7"/>
      <c r="H91" s="137"/>
      <c r="I91" s="89"/>
      <c r="J91" s="12"/>
      <c r="K91" s="7"/>
      <c r="L91" s="9"/>
      <c r="M91" s="93">
        <v>0</v>
      </c>
      <c r="N91" s="174"/>
      <c r="O91" s="71"/>
      <c r="P91" s="179"/>
      <c r="Q91" s="174"/>
      <c r="R91" s="71"/>
      <c r="S91" s="179">
        <f>Q91+R91</f>
        <v>0</v>
      </c>
      <c r="T91" s="174"/>
      <c r="U91" s="71"/>
      <c r="V91" s="179"/>
      <c r="W91" s="178">
        <f>W92</f>
        <v>1380</v>
      </c>
      <c r="X91" s="178">
        <f t="shared" ref="X91:Y91" si="117">X92</f>
        <v>0</v>
      </c>
      <c r="Y91" s="184">
        <f t="shared" si="117"/>
        <v>1380</v>
      </c>
      <c r="Z91" s="178"/>
      <c r="AA91" s="112"/>
      <c r="AB91" s="184"/>
      <c r="AC91" s="178"/>
      <c r="AD91" s="112"/>
      <c r="AE91" s="184"/>
      <c r="AF91" s="178"/>
      <c r="AG91" s="2"/>
      <c r="AH91" s="96"/>
    </row>
    <row r="92" spans="1:36" ht="27" customHeight="1" x14ac:dyDescent="0.3">
      <c r="A92" s="353"/>
      <c r="B92" s="6" t="s">
        <v>35</v>
      </c>
      <c r="C92" s="8"/>
      <c r="D92" s="7"/>
      <c r="E92" s="7"/>
      <c r="F92" s="7"/>
      <c r="G92" s="7"/>
      <c r="H92" s="137"/>
      <c r="I92" s="89"/>
      <c r="J92" s="12"/>
      <c r="K92" s="7"/>
      <c r="L92" s="9"/>
      <c r="M92" s="93">
        <v>0</v>
      </c>
      <c r="N92" s="174"/>
      <c r="O92" s="71"/>
      <c r="P92" s="179"/>
      <c r="Q92" s="174"/>
      <c r="R92" s="71"/>
      <c r="S92" s="179">
        <f t="shared" ref="S92:S96" si="118">Q92+R92</f>
        <v>0</v>
      </c>
      <c r="T92" s="174"/>
      <c r="U92" s="71"/>
      <c r="V92" s="179"/>
      <c r="W92" s="178">
        <v>1380</v>
      </c>
      <c r="X92" s="112"/>
      <c r="Y92" s="184">
        <f>W92+X92</f>
        <v>1380</v>
      </c>
      <c r="Z92" s="178"/>
      <c r="AA92" s="112"/>
      <c r="AB92" s="184"/>
      <c r="AC92" s="178"/>
      <c r="AD92" s="112"/>
      <c r="AE92" s="184"/>
      <c r="AF92" s="178"/>
      <c r="AG92" s="2"/>
      <c r="AH92" s="96"/>
    </row>
    <row r="93" spans="1:36" ht="27" customHeight="1" x14ac:dyDescent="0.3">
      <c r="A93" s="353"/>
      <c r="B93" s="6" t="s">
        <v>44</v>
      </c>
      <c r="C93" s="8"/>
      <c r="D93" s="7"/>
      <c r="E93" s="7"/>
      <c r="F93" s="7"/>
      <c r="G93" s="7"/>
      <c r="H93" s="137"/>
      <c r="I93" s="89"/>
      <c r="J93" s="12"/>
      <c r="K93" s="7"/>
      <c r="L93" s="9"/>
      <c r="M93" s="179"/>
      <c r="N93" s="174"/>
      <c r="O93" s="71"/>
      <c r="P93" s="179">
        <f>N93+O93</f>
        <v>0</v>
      </c>
      <c r="Q93" s="187"/>
      <c r="R93" s="49"/>
      <c r="S93" s="179">
        <f t="shared" si="118"/>
        <v>0</v>
      </c>
      <c r="T93" s="187"/>
      <c r="U93" s="49"/>
      <c r="V93" s="206"/>
      <c r="W93" s="190">
        <v>4000000</v>
      </c>
      <c r="X93" s="50"/>
      <c r="Y93" s="204">
        <f>W93+X93</f>
        <v>4000000</v>
      </c>
      <c r="Z93" s="190">
        <v>4000000</v>
      </c>
      <c r="AA93" s="50"/>
      <c r="AB93" s="204">
        <f>Z93+AA93</f>
        <v>4000000</v>
      </c>
      <c r="AC93" s="190">
        <v>3600000</v>
      </c>
      <c r="AD93" s="50"/>
      <c r="AE93" s="204">
        <f>AC93+AD93</f>
        <v>3600000</v>
      </c>
      <c r="AF93" s="228">
        <f>3679205.9+2001000+135254.1-1000-117362.012+1.912</f>
        <v>5697099.8999999994</v>
      </c>
      <c r="AG93" s="2"/>
      <c r="AH93" s="262">
        <f>AF93+AG93</f>
        <v>5697099.8999999994</v>
      </c>
    </row>
    <row r="94" spans="1:36" ht="92.25" customHeight="1" x14ac:dyDescent="0.3">
      <c r="A94" s="59"/>
      <c r="B94" s="124" t="s">
        <v>57</v>
      </c>
      <c r="C94" s="8"/>
      <c r="D94" s="7">
        <v>2022</v>
      </c>
      <c r="E94" s="7">
        <v>6.46</v>
      </c>
      <c r="F94" s="12"/>
      <c r="G94" s="7"/>
      <c r="H94" s="137"/>
      <c r="I94" s="125">
        <v>83960</v>
      </c>
      <c r="J94" s="126"/>
      <c r="K94" s="45"/>
      <c r="L94" s="127"/>
      <c r="M94" s="183">
        <f t="shared" ref="M94:V94" si="119">M95+M96</f>
        <v>1477.7</v>
      </c>
      <c r="N94" s="177">
        <f t="shared" si="119"/>
        <v>0</v>
      </c>
      <c r="O94" s="129">
        <f t="shared" si="119"/>
        <v>0</v>
      </c>
      <c r="P94" s="183">
        <f t="shared" si="119"/>
        <v>0</v>
      </c>
      <c r="Q94" s="177">
        <f t="shared" si="119"/>
        <v>0</v>
      </c>
      <c r="R94" s="129"/>
      <c r="S94" s="183">
        <f t="shared" si="118"/>
        <v>0</v>
      </c>
      <c r="T94" s="177">
        <f t="shared" si="119"/>
        <v>82482.3</v>
      </c>
      <c r="U94" s="129">
        <f t="shared" si="119"/>
        <v>0</v>
      </c>
      <c r="V94" s="183">
        <f t="shared" si="119"/>
        <v>82482.3</v>
      </c>
      <c r="W94" s="202"/>
      <c r="X94" s="130"/>
      <c r="Y94" s="220"/>
      <c r="Z94" s="178"/>
      <c r="AA94" s="112"/>
      <c r="AB94" s="184"/>
      <c r="AC94" s="178"/>
      <c r="AD94" s="112"/>
      <c r="AE94" s="184"/>
      <c r="AF94" s="178"/>
      <c r="AG94" s="2"/>
      <c r="AH94" s="96"/>
      <c r="AI94" s="264">
        <f>I94-M94-P94-S94-V94-Y94-AB94-AE94-AH94</f>
        <v>0</v>
      </c>
    </row>
    <row r="95" spans="1:36" ht="21" customHeight="1" x14ac:dyDescent="0.3">
      <c r="A95" s="59"/>
      <c r="B95" s="6" t="s">
        <v>35</v>
      </c>
      <c r="C95" s="8"/>
      <c r="D95" s="7"/>
      <c r="E95" s="7"/>
      <c r="F95" s="12"/>
      <c r="G95" s="7"/>
      <c r="H95" s="137"/>
      <c r="I95" s="125"/>
      <c r="J95" s="126"/>
      <c r="K95" s="45"/>
      <c r="L95" s="127"/>
      <c r="M95" s="183">
        <v>1477.7</v>
      </c>
      <c r="N95" s="177"/>
      <c r="O95" s="129"/>
      <c r="P95" s="183"/>
      <c r="Q95" s="188"/>
      <c r="R95" s="128"/>
      <c r="S95" s="183">
        <f t="shared" si="118"/>
        <v>0</v>
      </c>
      <c r="T95" s="192"/>
      <c r="U95" s="131"/>
      <c r="V95" s="207"/>
      <c r="W95" s="202"/>
      <c r="X95" s="130"/>
      <c r="Y95" s="220"/>
      <c r="Z95" s="178"/>
      <c r="AA95" s="112"/>
      <c r="AB95" s="184"/>
      <c r="AC95" s="178"/>
      <c r="AD95" s="112"/>
      <c r="AE95" s="184"/>
      <c r="AF95" s="178"/>
      <c r="AG95" s="2"/>
      <c r="AH95" s="96"/>
    </row>
    <row r="96" spans="1:36" ht="21" customHeight="1" thickBot="1" x14ac:dyDescent="0.35">
      <c r="A96" s="59"/>
      <c r="B96" s="6" t="s">
        <v>36</v>
      </c>
      <c r="C96" s="8"/>
      <c r="D96" s="7"/>
      <c r="E96" s="7"/>
      <c r="F96" s="12"/>
      <c r="G96" s="7"/>
      <c r="H96" s="137"/>
      <c r="I96" s="125"/>
      <c r="J96" s="126"/>
      <c r="K96" s="45"/>
      <c r="L96" s="127"/>
      <c r="M96" s="183"/>
      <c r="N96" s="177"/>
      <c r="O96" s="129"/>
      <c r="P96" s="183">
        <f>N96+O96</f>
        <v>0</v>
      </c>
      <c r="Q96" s="188"/>
      <c r="R96" s="128"/>
      <c r="S96" s="183">
        <f t="shared" si="118"/>
        <v>0</v>
      </c>
      <c r="T96" s="193">
        <f>79960+2522.3</f>
        <v>82482.3</v>
      </c>
      <c r="U96" s="159"/>
      <c r="V96" s="208">
        <f>T96+U96</f>
        <v>82482.3</v>
      </c>
      <c r="W96" s="202"/>
      <c r="X96" s="130"/>
      <c r="Y96" s="220"/>
      <c r="Z96" s="178"/>
      <c r="AA96" s="112"/>
      <c r="AB96" s="184"/>
      <c r="AC96" s="178"/>
      <c r="AD96" s="112"/>
      <c r="AE96" s="184"/>
      <c r="AF96" s="178"/>
      <c r="AG96" s="2"/>
      <c r="AH96" s="96"/>
    </row>
    <row r="97" spans="1:34" ht="81" customHeight="1" thickBot="1" x14ac:dyDescent="0.35">
      <c r="A97" s="59"/>
      <c r="B97" s="316" t="s">
        <v>120</v>
      </c>
      <c r="C97" s="8"/>
      <c r="D97" s="7">
        <v>2020</v>
      </c>
      <c r="E97" s="7"/>
      <c r="F97" s="12"/>
      <c r="G97" s="7" t="s">
        <v>64</v>
      </c>
      <c r="H97" s="137"/>
      <c r="I97" s="125">
        <v>9645.4</v>
      </c>
      <c r="J97" s="126"/>
      <c r="K97" s="45"/>
      <c r="L97" s="127"/>
      <c r="M97" s="183"/>
      <c r="N97" s="177">
        <f>N98+N99</f>
        <v>9645.4</v>
      </c>
      <c r="O97" s="129">
        <f>O98+O99</f>
        <v>0</v>
      </c>
      <c r="P97" s="183">
        <f>N97+O97</f>
        <v>9645.4</v>
      </c>
      <c r="Q97" s="188"/>
      <c r="R97" s="128"/>
      <c r="S97" s="183"/>
      <c r="T97" s="192"/>
      <c r="U97" s="131"/>
      <c r="V97" s="207"/>
      <c r="W97" s="202"/>
      <c r="X97" s="130"/>
      <c r="Y97" s="220"/>
      <c r="Z97" s="178"/>
      <c r="AA97" s="112"/>
      <c r="AB97" s="184"/>
      <c r="AC97" s="178"/>
      <c r="AD97" s="112"/>
      <c r="AE97" s="184"/>
      <c r="AF97" s="178"/>
      <c r="AG97" s="2"/>
      <c r="AH97" s="96"/>
    </row>
    <row r="98" spans="1:34" ht="21" customHeight="1" x14ac:dyDescent="0.3">
      <c r="A98" s="59"/>
      <c r="B98" s="6" t="s">
        <v>35</v>
      </c>
      <c r="C98" s="8"/>
      <c r="D98" s="7"/>
      <c r="E98" s="7"/>
      <c r="F98" s="12"/>
      <c r="G98" s="7"/>
      <c r="H98" s="137"/>
      <c r="I98" s="125"/>
      <c r="J98" s="126"/>
      <c r="K98" s="45"/>
      <c r="L98" s="127"/>
      <c r="M98" s="183"/>
      <c r="N98" s="177">
        <v>1645.4</v>
      </c>
      <c r="O98" s="129"/>
      <c r="P98" s="183">
        <f t="shared" ref="P98:P99" si="120">N98+O98</f>
        <v>1645.4</v>
      </c>
      <c r="Q98" s="188"/>
      <c r="R98" s="128"/>
      <c r="S98" s="183"/>
      <c r="T98" s="192"/>
      <c r="U98" s="131"/>
      <c r="V98" s="207"/>
      <c r="W98" s="202"/>
      <c r="X98" s="130"/>
      <c r="Y98" s="220"/>
      <c r="Z98" s="178"/>
      <c r="AA98" s="112"/>
      <c r="AB98" s="184"/>
      <c r="AC98" s="178"/>
      <c r="AD98" s="112"/>
      <c r="AE98" s="184"/>
      <c r="AF98" s="178"/>
      <c r="AG98" s="2"/>
      <c r="AH98" s="96"/>
    </row>
    <row r="99" spans="1:34" ht="21" customHeight="1" x14ac:dyDescent="0.3">
      <c r="A99" s="59"/>
      <c r="B99" s="6" t="s">
        <v>36</v>
      </c>
      <c r="C99" s="8"/>
      <c r="D99" s="7"/>
      <c r="E99" s="7"/>
      <c r="F99" s="12"/>
      <c r="G99" s="7"/>
      <c r="H99" s="137"/>
      <c r="I99" s="125"/>
      <c r="J99" s="126"/>
      <c r="K99" s="45"/>
      <c r="L99" s="127"/>
      <c r="M99" s="183"/>
      <c r="N99" s="177">
        <v>8000</v>
      </c>
      <c r="O99" s="129"/>
      <c r="P99" s="183">
        <f t="shared" si="120"/>
        <v>8000</v>
      </c>
      <c r="Q99" s="188"/>
      <c r="R99" s="128"/>
      <c r="S99" s="183"/>
      <c r="T99" s="192"/>
      <c r="U99" s="131"/>
      <c r="V99" s="207"/>
      <c r="W99" s="202"/>
      <c r="X99" s="130"/>
      <c r="Y99" s="220"/>
      <c r="Z99" s="178"/>
      <c r="AA99" s="112"/>
      <c r="AB99" s="184"/>
      <c r="AC99" s="178"/>
      <c r="AD99" s="112"/>
      <c r="AE99" s="184"/>
      <c r="AF99" s="178"/>
      <c r="AG99" s="2"/>
      <c r="AH99" s="96"/>
    </row>
    <row r="100" spans="1:34" ht="93" customHeight="1" x14ac:dyDescent="0.3">
      <c r="A100" s="59"/>
      <c r="B100" s="315" t="s">
        <v>121</v>
      </c>
      <c r="C100" s="8"/>
      <c r="D100" s="7">
        <v>2020</v>
      </c>
      <c r="E100" s="7"/>
      <c r="F100" s="12"/>
      <c r="G100" s="7" t="s">
        <v>65</v>
      </c>
      <c r="H100" s="137"/>
      <c r="I100" s="125">
        <v>4971.2</v>
      </c>
      <c r="J100" s="126"/>
      <c r="K100" s="45"/>
      <c r="L100" s="127"/>
      <c r="M100" s="183">
        <v>0</v>
      </c>
      <c r="N100" s="177">
        <f>N101+N102</f>
        <v>4412.6000000000004</v>
      </c>
      <c r="O100" s="129">
        <f>O101+O102</f>
        <v>0</v>
      </c>
      <c r="P100" s="183">
        <f>N100+O100</f>
        <v>4412.6000000000004</v>
      </c>
      <c r="Q100" s="188"/>
      <c r="R100" s="128"/>
      <c r="S100" s="183"/>
      <c r="T100" s="192"/>
      <c r="U100" s="131"/>
      <c r="V100" s="207"/>
      <c r="W100" s="202"/>
      <c r="X100" s="130"/>
      <c r="Y100" s="220"/>
      <c r="Z100" s="178"/>
      <c r="AA100" s="112"/>
      <c r="AB100" s="184"/>
      <c r="AC100" s="178"/>
      <c r="AD100" s="112"/>
      <c r="AE100" s="184"/>
      <c r="AF100" s="178"/>
      <c r="AG100" s="2"/>
      <c r="AH100" s="96"/>
    </row>
    <row r="101" spans="1:34" ht="21" customHeight="1" x14ac:dyDescent="0.3">
      <c r="A101" s="59"/>
      <c r="B101" s="6" t="s">
        <v>35</v>
      </c>
      <c r="C101" s="8"/>
      <c r="D101" s="7"/>
      <c r="E101" s="7"/>
      <c r="F101" s="12"/>
      <c r="G101" s="7"/>
      <c r="H101" s="137"/>
      <c r="I101" s="125"/>
      <c r="J101" s="126"/>
      <c r="K101" s="45"/>
      <c r="L101" s="127"/>
      <c r="M101" s="183">
        <v>0</v>
      </c>
      <c r="N101" s="177">
        <v>629.1</v>
      </c>
      <c r="O101" s="129"/>
      <c r="P101" s="183">
        <f t="shared" ref="P101:P102" si="121">N101+O101</f>
        <v>629.1</v>
      </c>
      <c r="Q101" s="188"/>
      <c r="R101" s="128"/>
      <c r="S101" s="183"/>
      <c r="T101" s="192"/>
      <c r="U101" s="131"/>
      <c r="V101" s="207"/>
      <c r="W101" s="202"/>
      <c r="X101" s="130"/>
      <c r="Y101" s="220"/>
      <c r="Z101" s="178"/>
      <c r="AA101" s="112"/>
      <c r="AB101" s="184"/>
      <c r="AC101" s="178"/>
      <c r="AD101" s="112"/>
      <c r="AE101" s="184"/>
      <c r="AF101" s="178"/>
      <c r="AG101" s="2"/>
      <c r="AH101" s="96"/>
    </row>
    <row r="102" spans="1:34" ht="21" customHeight="1" x14ac:dyDescent="0.3">
      <c r="A102" s="59"/>
      <c r="B102" s="6" t="s">
        <v>36</v>
      </c>
      <c r="C102" s="8"/>
      <c r="D102" s="7"/>
      <c r="E102" s="7"/>
      <c r="F102" s="12"/>
      <c r="G102" s="7"/>
      <c r="H102" s="137"/>
      <c r="I102" s="125"/>
      <c r="J102" s="126"/>
      <c r="K102" s="45"/>
      <c r="L102" s="127"/>
      <c r="M102" s="183">
        <v>0</v>
      </c>
      <c r="N102" s="177">
        <v>3783.5</v>
      </c>
      <c r="O102" s="129"/>
      <c r="P102" s="183">
        <f t="shared" si="121"/>
        <v>3783.5</v>
      </c>
      <c r="Q102" s="188"/>
      <c r="R102" s="128"/>
      <c r="S102" s="183"/>
      <c r="T102" s="192"/>
      <c r="U102" s="131"/>
      <c r="V102" s="207"/>
      <c r="W102" s="202"/>
      <c r="X102" s="130"/>
      <c r="Y102" s="220"/>
      <c r="Z102" s="178"/>
      <c r="AA102" s="112"/>
      <c r="AB102" s="184"/>
      <c r="AC102" s="178"/>
      <c r="AD102" s="112"/>
      <c r="AE102" s="184"/>
      <c r="AF102" s="178"/>
      <c r="AG102" s="2"/>
      <c r="AH102" s="96"/>
    </row>
    <row r="103" spans="1:34" ht="76.5" customHeight="1" x14ac:dyDescent="0.3">
      <c r="A103" s="59"/>
      <c r="B103" s="132" t="s">
        <v>122</v>
      </c>
      <c r="C103" s="8"/>
      <c r="D103" s="7">
        <v>2020</v>
      </c>
      <c r="E103" s="7"/>
      <c r="F103" s="12"/>
      <c r="G103" s="7" t="s">
        <v>65</v>
      </c>
      <c r="H103" s="137"/>
      <c r="I103" s="125">
        <v>4523.1000000000004</v>
      </c>
      <c r="J103" s="126"/>
      <c r="K103" s="45"/>
      <c r="L103" s="127"/>
      <c r="M103" s="183"/>
      <c r="N103" s="177">
        <f>N104+N105</f>
        <v>4523.1000000000004</v>
      </c>
      <c r="O103" s="129">
        <f>O104+O105</f>
        <v>0</v>
      </c>
      <c r="P103" s="183">
        <f>N103+O103</f>
        <v>4523.1000000000004</v>
      </c>
      <c r="Q103" s="188"/>
      <c r="R103" s="128"/>
      <c r="S103" s="183"/>
      <c r="T103" s="192"/>
      <c r="U103" s="131"/>
      <c r="V103" s="207"/>
      <c r="W103" s="202"/>
      <c r="X103" s="130"/>
      <c r="Y103" s="220"/>
      <c r="Z103" s="178"/>
      <c r="AA103" s="112"/>
      <c r="AB103" s="184"/>
      <c r="AC103" s="178"/>
      <c r="AD103" s="112"/>
      <c r="AE103" s="184"/>
      <c r="AF103" s="178"/>
      <c r="AG103" s="2"/>
      <c r="AH103" s="96"/>
    </row>
    <row r="104" spans="1:34" ht="21" customHeight="1" x14ac:dyDescent="0.3">
      <c r="A104" s="59"/>
      <c r="B104" s="6" t="s">
        <v>35</v>
      </c>
      <c r="C104" s="8"/>
      <c r="D104" s="7"/>
      <c r="E104" s="7"/>
      <c r="F104" s="12"/>
      <c r="G104" s="7"/>
      <c r="H104" s="137"/>
      <c r="I104" s="125"/>
      <c r="J104" s="126"/>
      <c r="K104" s="45"/>
      <c r="L104" s="127"/>
      <c r="M104" s="183"/>
      <c r="N104" s="177">
        <v>673.1</v>
      </c>
      <c r="O104" s="129"/>
      <c r="P104" s="183">
        <f t="shared" ref="P104:P105" si="122">N104+O104</f>
        <v>673.1</v>
      </c>
      <c r="Q104" s="188"/>
      <c r="R104" s="128"/>
      <c r="S104" s="183"/>
      <c r="T104" s="192"/>
      <c r="U104" s="131"/>
      <c r="V104" s="207"/>
      <c r="W104" s="202"/>
      <c r="X104" s="130"/>
      <c r="Y104" s="220"/>
      <c r="Z104" s="178"/>
      <c r="AA104" s="112"/>
      <c r="AB104" s="184"/>
      <c r="AC104" s="178"/>
      <c r="AD104" s="112"/>
      <c r="AE104" s="184"/>
      <c r="AF104" s="178"/>
      <c r="AG104" s="2"/>
      <c r="AH104" s="96"/>
    </row>
    <row r="105" spans="1:34" ht="21" customHeight="1" x14ac:dyDescent="0.3">
      <c r="A105" s="59"/>
      <c r="B105" s="6" t="s">
        <v>36</v>
      </c>
      <c r="C105" s="8"/>
      <c r="D105" s="7"/>
      <c r="E105" s="7"/>
      <c r="F105" s="12"/>
      <c r="G105" s="7"/>
      <c r="H105" s="137"/>
      <c r="I105" s="125"/>
      <c r="J105" s="126"/>
      <c r="K105" s="45"/>
      <c r="L105" s="127"/>
      <c r="M105" s="183"/>
      <c r="N105" s="177">
        <v>3850</v>
      </c>
      <c r="O105" s="129"/>
      <c r="P105" s="183">
        <f t="shared" si="122"/>
        <v>3850</v>
      </c>
      <c r="Q105" s="188"/>
      <c r="R105" s="128"/>
      <c r="S105" s="183"/>
      <c r="T105" s="192"/>
      <c r="U105" s="131"/>
      <c r="V105" s="207"/>
      <c r="W105" s="202"/>
      <c r="X105" s="130"/>
      <c r="Y105" s="220"/>
      <c r="Z105" s="178"/>
      <c r="AA105" s="112"/>
      <c r="AB105" s="184"/>
      <c r="AC105" s="178"/>
      <c r="AD105" s="112"/>
      <c r="AE105" s="184"/>
      <c r="AF105" s="178"/>
      <c r="AG105" s="2"/>
      <c r="AH105" s="96"/>
    </row>
    <row r="106" spans="1:34" ht="93" customHeight="1" x14ac:dyDescent="0.3">
      <c r="A106" s="59"/>
      <c r="B106" s="132" t="s">
        <v>113</v>
      </c>
      <c r="C106" s="8"/>
      <c r="D106" s="7">
        <v>2021</v>
      </c>
      <c r="E106" s="7"/>
      <c r="F106" s="12"/>
      <c r="G106" s="7" t="s">
        <v>71</v>
      </c>
      <c r="H106" s="137"/>
      <c r="I106" s="125">
        <v>19453</v>
      </c>
      <c r="J106" s="126"/>
      <c r="K106" s="45"/>
      <c r="L106" s="127"/>
      <c r="M106" s="183"/>
      <c r="N106" s="177">
        <f>N107+N108</f>
        <v>1913</v>
      </c>
      <c r="O106" s="129">
        <f>O107+O108</f>
        <v>0</v>
      </c>
      <c r="P106" s="183">
        <f>N106+O106</f>
        <v>1913</v>
      </c>
      <c r="Q106" s="177">
        <f>Q107+Q108</f>
        <v>17540</v>
      </c>
      <c r="R106" s="129">
        <f t="shared" ref="R106:S106" si="123">R107+R108</f>
        <v>0</v>
      </c>
      <c r="S106" s="292">
        <f t="shared" si="123"/>
        <v>17540</v>
      </c>
      <c r="T106" s="192"/>
      <c r="U106" s="131"/>
      <c r="V106" s="207"/>
      <c r="W106" s="202"/>
      <c r="X106" s="130"/>
      <c r="Y106" s="220"/>
      <c r="Z106" s="178"/>
      <c r="AA106" s="112"/>
      <c r="AB106" s="184"/>
      <c r="AC106" s="178"/>
      <c r="AD106" s="112"/>
      <c r="AE106" s="184"/>
      <c r="AF106" s="178"/>
      <c r="AG106" s="2"/>
      <c r="AH106" s="96"/>
    </row>
    <row r="107" spans="1:34" ht="21" customHeight="1" x14ac:dyDescent="0.3">
      <c r="A107" s="59"/>
      <c r="B107" s="6" t="s">
        <v>35</v>
      </c>
      <c r="C107" s="8"/>
      <c r="D107" s="7"/>
      <c r="E107" s="7"/>
      <c r="F107" s="12"/>
      <c r="G107" s="7"/>
      <c r="H107" s="137"/>
      <c r="I107" s="125"/>
      <c r="J107" s="126"/>
      <c r="K107" s="45"/>
      <c r="L107" s="127"/>
      <c r="M107" s="183"/>
      <c r="N107" s="177">
        <f>1953-40</f>
        <v>1913</v>
      </c>
      <c r="O107" s="129"/>
      <c r="P107" s="183">
        <f t="shared" ref="P107:P108" si="124">N107+O107</f>
        <v>1913</v>
      </c>
      <c r="Q107" s="177">
        <v>40</v>
      </c>
      <c r="R107" s="129"/>
      <c r="S107" s="183">
        <f>Q107+R107</f>
        <v>40</v>
      </c>
      <c r="T107" s="192"/>
      <c r="U107" s="131"/>
      <c r="V107" s="207"/>
      <c r="W107" s="202"/>
      <c r="X107" s="130"/>
      <c r="Y107" s="220"/>
      <c r="Z107" s="178"/>
      <c r="AA107" s="112"/>
      <c r="AB107" s="184"/>
      <c r="AC107" s="178"/>
      <c r="AD107" s="112"/>
      <c r="AE107" s="184"/>
      <c r="AF107" s="178"/>
      <c r="AG107" s="2"/>
      <c r="AH107" s="96"/>
    </row>
    <row r="108" spans="1:34" ht="21" customHeight="1" thickBot="1" x14ac:dyDescent="0.35">
      <c r="A108" s="59"/>
      <c r="B108" s="6" t="s">
        <v>36</v>
      </c>
      <c r="C108" s="8"/>
      <c r="D108" s="7"/>
      <c r="E108" s="7"/>
      <c r="F108" s="12"/>
      <c r="G108" s="7"/>
      <c r="H108" s="137"/>
      <c r="I108" s="125"/>
      <c r="J108" s="126"/>
      <c r="K108" s="45"/>
      <c r="L108" s="127"/>
      <c r="M108" s="183"/>
      <c r="N108" s="177">
        <f>17500-17500</f>
        <v>0</v>
      </c>
      <c r="O108" s="129"/>
      <c r="P108" s="183">
        <f t="shared" si="124"/>
        <v>0</v>
      </c>
      <c r="Q108" s="177">
        <v>17500</v>
      </c>
      <c r="R108" s="129"/>
      <c r="S108" s="183">
        <f>Q108+R108</f>
        <v>17500</v>
      </c>
      <c r="T108" s="192"/>
      <c r="U108" s="131"/>
      <c r="V108" s="207"/>
      <c r="W108" s="202"/>
      <c r="X108" s="130"/>
      <c r="Y108" s="220"/>
      <c r="Z108" s="178"/>
      <c r="AA108" s="112"/>
      <c r="AB108" s="184"/>
      <c r="AC108" s="178"/>
      <c r="AD108" s="112"/>
      <c r="AE108" s="184"/>
      <c r="AF108" s="178"/>
      <c r="AG108" s="2"/>
      <c r="AH108" s="96"/>
    </row>
    <row r="109" spans="1:34" ht="107.25" customHeight="1" thickBot="1" x14ac:dyDescent="0.35">
      <c r="A109" s="59"/>
      <c r="B109" s="247" t="s">
        <v>123</v>
      </c>
      <c r="C109" s="8"/>
      <c r="D109" s="7">
        <v>2021</v>
      </c>
      <c r="E109" s="7"/>
      <c r="F109" s="12"/>
      <c r="G109" s="7"/>
      <c r="H109" s="137"/>
      <c r="I109" s="125">
        <v>4955</v>
      </c>
      <c r="J109" s="126"/>
      <c r="K109" s="45"/>
      <c r="L109" s="127"/>
      <c r="M109" s="183"/>
      <c r="N109" s="177"/>
      <c r="O109" s="129"/>
      <c r="P109" s="183"/>
      <c r="Q109" s="188">
        <f>Q110+Q111</f>
        <v>4955</v>
      </c>
      <c r="R109" s="188">
        <f t="shared" ref="R109:S109" si="125">R110+R111</f>
        <v>0</v>
      </c>
      <c r="S109" s="250">
        <f t="shared" si="125"/>
        <v>4955</v>
      </c>
      <c r="T109" s="192"/>
      <c r="U109" s="131"/>
      <c r="V109" s="207"/>
      <c r="W109" s="202"/>
      <c r="X109" s="202"/>
      <c r="Y109" s="220"/>
      <c r="Z109" s="178"/>
      <c r="AA109" s="178"/>
      <c r="AB109" s="184"/>
      <c r="AC109" s="178"/>
      <c r="AD109" s="112"/>
      <c r="AE109" s="184"/>
      <c r="AF109" s="178"/>
      <c r="AG109" s="2"/>
      <c r="AH109" s="96"/>
    </row>
    <row r="110" spans="1:34" ht="21" customHeight="1" x14ac:dyDescent="0.3">
      <c r="A110" s="59"/>
      <c r="B110" s="26" t="s">
        <v>22</v>
      </c>
      <c r="C110" s="27"/>
      <c r="D110" s="28"/>
      <c r="E110" s="28"/>
      <c r="F110" s="34"/>
      <c r="G110" s="28"/>
      <c r="H110" s="138"/>
      <c r="I110" s="272"/>
      <c r="J110" s="273"/>
      <c r="K110" s="274"/>
      <c r="L110" s="275"/>
      <c r="M110" s="276"/>
      <c r="N110" s="277"/>
      <c r="O110" s="278"/>
      <c r="P110" s="276"/>
      <c r="Q110" s="279"/>
      <c r="R110" s="278"/>
      <c r="S110" s="276"/>
      <c r="T110" s="280"/>
      <c r="U110" s="281"/>
      <c r="V110" s="282"/>
      <c r="W110" s="283"/>
      <c r="X110" s="283"/>
      <c r="Y110" s="284"/>
      <c r="Z110" s="198"/>
      <c r="AA110" s="198"/>
      <c r="AB110" s="216"/>
      <c r="AC110" s="198"/>
      <c r="AD110" s="113"/>
      <c r="AE110" s="216"/>
      <c r="AF110" s="198"/>
      <c r="AG110" s="232"/>
      <c r="AH110" s="235"/>
    </row>
    <row r="111" spans="1:34" ht="21" customHeight="1" x14ac:dyDescent="0.3">
      <c r="A111" s="59"/>
      <c r="B111" s="6" t="s">
        <v>23</v>
      </c>
      <c r="C111" s="8"/>
      <c r="D111" s="7"/>
      <c r="E111" s="7"/>
      <c r="F111" s="12"/>
      <c r="G111" s="7"/>
      <c r="H111" s="137"/>
      <c r="I111" s="125"/>
      <c r="J111" s="126"/>
      <c r="K111" s="45"/>
      <c r="L111" s="127"/>
      <c r="M111" s="183"/>
      <c r="N111" s="177"/>
      <c r="O111" s="129"/>
      <c r="P111" s="183"/>
      <c r="Q111" s="188">
        <f>Q112+Q113</f>
        <v>4955</v>
      </c>
      <c r="R111" s="188">
        <f t="shared" ref="R111:S111" si="126">R112+R113</f>
        <v>0</v>
      </c>
      <c r="S111" s="250">
        <f t="shared" si="126"/>
        <v>4955</v>
      </c>
      <c r="T111" s="192"/>
      <c r="U111" s="131"/>
      <c r="V111" s="207"/>
      <c r="W111" s="202"/>
      <c r="X111" s="202"/>
      <c r="Y111" s="220"/>
      <c r="Z111" s="178"/>
      <c r="AA111" s="178"/>
      <c r="AB111" s="184"/>
      <c r="AC111" s="178"/>
      <c r="AD111" s="112"/>
      <c r="AE111" s="184"/>
      <c r="AF111" s="178"/>
      <c r="AG111" s="2"/>
      <c r="AH111" s="96"/>
    </row>
    <row r="112" spans="1:34" ht="21" customHeight="1" x14ac:dyDescent="0.3">
      <c r="A112" s="59"/>
      <c r="B112" s="6" t="s">
        <v>35</v>
      </c>
      <c r="C112" s="8"/>
      <c r="D112" s="7"/>
      <c r="E112" s="7"/>
      <c r="F112" s="12"/>
      <c r="G112" s="7"/>
      <c r="H112" s="137"/>
      <c r="I112" s="125"/>
      <c r="J112" s="126"/>
      <c r="K112" s="45"/>
      <c r="L112" s="127"/>
      <c r="M112" s="183"/>
      <c r="N112" s="177"/>
      <c r="O112" s="129"/>
      <c r="P112" s="183"/>
      <c r="Q112" s="128">
        <v>715</v>
      </c>
      <c r="R112" s="128"/>
      <c r="S112" s="250">
        <f>Q112+R112</f>
        <v>715</v>
      </c>
      <c r="T112" s="192"/>
      <c r="U112" s="131"/>
      <c r="V112" s="207"/>
      <c r="W112" s="202"/>
      <c r="X112" s="202"/>
      <c r="Y112" s="220"/>
      <c r="Z112" s="178"/>
      <c r="AA112" s="178"/>
      <c r="AB112" s="184"/>
      <c r="AC112" s="178"/>
      <c r="AD112" s="112"/>
      <c r="AE112" s="184"/>
      <c r="AF112" s="178"/>
      <c r="AG112" s="2"/>
      <c r="AH112" s="96"/>
    </row>
    <row r="113" spans="1:35" ht="21" customHeight="1" x14ac:dyDescent="0.3">
      <c r="A113" s="59"/>
      <c r="B113" s="6" t="s">
        <v>44</v>
      </c>
      <c r="C113" s="8"/>
      <c r="D113" s="7"/>
      <c r="E113" s="7"/>
      <c r="F113" s="12"/>
      <c r="G113" s="7"/>
      <c r="H113" s="137"/>
      <c r="I113" s="125"/>
      <c r="J113" s="126"/>
      <c r="K113" s="45"/>
      <c r="L113" s="127"/>
      <c r="M113" s="183"/>
      <c r="N113" s="177"/>
      <c r="O113" s="129"/>
      <c r="P113" s="183"/>
      <c r="Q113" s="128">
        <v>4240</v>
      </c>
      <c r="R113" s="128"/>
      <c r="S113" s="250">
        <f>Q113+R113</f>
        <v>4240</v>
      </c>
      <c r="T113" s="192"/>
      <c r="U113" s="131"/>
      <c r="V113" s="207"/>
      <c r="W113" s="202"/>
      <c r="X113" s="202"/>
      <c r="Y113" s="220"/>
      <c r="Z113" s="178"/>
      <c r="AA113" s="178"/>
      <c r="AB113" s="184"/>
      <c r="AC113" s="178"/>
      <c r="AD113" s="112"/>
      <c r="AE113" s="184"/>
      <c r="AF113" s="178"/>
      <c r="AG113" s="2"/>
      <c r="AH113" s="96"/>
    </row>
    <row r="114" spans="1:35" ht="108.75" customHeight="1" thickBot="1" x14ac:dyDescent="0.35">
      <c r="A114" s="59"/>
      <c r="B114" s="248" t="s">
        <v>124</v>
      </c>
      <c r="C114" s="8"/>
      <c r="D114" s="7">
        <v>2021</v>
      </c>
      <c r="E114" s="7"/>
      <c r="F114" s="12"/>
      <c r="G114" s="7"/>
      <c r="H114" s="137"/>
      <c r="I114" s="125">
        <v>4985</v>
      </c>
      <c r="J114" s="126"/>
      <c r="K114" s="45"/>
      <c r="L114" s="127"/>
      <c r="M114" s="183"/>
      <c r="N114" s="177"/>
      <c r="O114" s="129"/>
      <c r="P114" s="183"/>
      <c r="Q114" s="188">
        <f>Q115+Q116</f>
        <v>4985</v>
      </c>
      <c r="R114" s="188">
        <f t="shared" ref="R114:S114" si="127">R115+R116</f>
        <v>0</v>
      </c>
      <c r="S114" s="250">
        <f t="shared" si="127"/>
        <v>4985</v>
      </c>
      <c r="T114" s="192"/>
      <c r="U114" s="131"/>
      <c r="V114" s="207"/>
      <c r="W114" s="202"/>
      <c r="X114" s="202"/>
      <c r="Y114" s="220"/>
      <c r="Z114" s="178"/>
      <c r="AA114" s="178"/>
      <c r="AB114" s="184"/>
      <c r="AC114" s="178"/>
      <c r="AD114" s="112"/>
      <c r="AE114" s="184"/>
      <c r="AF114" s="178"/>
      <c r="AG114" s="2"/>
      <c r="AH114" s="96"/>
    </row>
    <row r="115" spans="1:35" ht="21" customHeight="1" x14ac:dyDescent="0.3">
      <c r="A115" s="59"/>
      <c r="B115" s="26" t="s">
        <v>22</v>
      </c>
      <c r="C115" s="27"/>
      <c r="D115" s="28"/>
      <c r="E115" s="28"/>
      <c r="F115" s="34"/>
      <c r="G115" s="28"/>
      <c r="H115" s="138"/>
      <c r="I115" s="272"/>
      <c r="J115" s="273"/>
      <c r="K115" s="274"/>
      <c r="L115" s="275"/>
      <c r="M115" s="276"/>
      <c r="N115" s="277"/>
      <c r="O115" s="278"/>
      <c r="P115" s="276"/>
      <c r="Q115" s="279"/>
      <c r="R115" s="278"/>
      <c r="S115" s="276"/>
      <c r="T115" s="280"/>
      <c r="U115" s="281"/>
      <c r="V115" s="282"/>
      <c r="W115" s="283"/>
      <c r="X115" s="283"/>
      <c r="Y115" s="284"/>
      <c r="Z115" s="198"/>
      <c r="AA115" s="198"/>
      <c r="AB115" s="216"/>
      <c r="AC115" s="198"/>
      <c r="AD115" s="113"/>
      <c r="AE115" s="216"/>
      <c r="AF115" s="198"/>
      <c r="AG115" s="232"/>
      <c r="AH115" s="235"/>
    </row>
    <row r="116" spans="1:35" ht="21" customHeight="1" x14ac:dyDescent="0.3">
      <c r="A116" s="59"/>
      <c r="B116" s="6" t="s">
        <v>23</v>
      </c>
      <c r="C116" s="8"/>
      <c r="D116" s="7"/>
      <c r="E116" s="7"/>
      <c r="F116" s="12"/>
      <c r="G116" s="7"/>
      <c r="H116" s="137"/>
      <c r="I116" s="125"/>
      <c r="J116" s="126"/>
      <c r="K116" s="45"/>
      <c r="L116" s="127"/>
      <c r="M116" s="183"/>
      <c r="N116" s="177"/>
      <c r="O116" s="129"/>
      <c r="P116" s="183"/>
      <c r="Q116" s="188">
        <f>Q117+Q118</f>
        <v>4985</v>
      </c>
      <c r="R116" s="188">
        <f t="shared" ref="R116:S116" si="128">R117+R118</f>
        <v>0</v>
      </c>
      <c r="S116" s="250">
        <f t="shared" si="128"/>
        <v>4985</v>
      </c>
      <c r="T116" s="192"/>
      <c r="U116" s="131"/>
      <c r="V116" s="207"/>
      <c r="W116" s="202"/>
      <c r="X116" s="202"/>
      <c r="Y116" s="220"/>
      <c r="Z116" s="178"/>
      <c r="AA116" s="178"/>
      <c r="AB116" s="184"/>
      <c r="AC116" s="178"/>
      <c r="AD116" s="112"/>
      <c r="AE116" s="184"/>
      <c r="AF116" s="178"/>
      <c r="AG116" s="2"/>
      <c r="AH116" s="96"/>
    </row>
    <row r="117" spans="1:35" ht="21" customHeight="1" x14ac:dyDescent="0.3">
      <c r="A117" s="59"/>
      <c r="B117" s="6" t="s">
        <v>35</v>
      </c>
      <c r="C117" s="8"/>
      <c r="D117" s="7"/>
      <c r="E117" s="7"/>
      <c r="F117" s="12"/>
      <c r="G117" s="7"/>
      <c r="H117" s="137"/>
      <c r="I117" s="125"/>
      <c r="J117" s="126"/>
      <c r="K117" s="45"/>
      <c r="L117" s="127"/>
      <c r="M117" s="183"/>
      <c r="N117" s="177"/>
      <c r="O117" s="129"/>
      <c r="P117" s="183"/>
      <c r="Q117" s="128">
        <v>725</v>
      </c>
      <c r="R117" s="128"/>
      <c r="S117" s="250">
        <f>Q117+R117</f>
        <v>725</v>
      </c>
      <c r="T117" s="192"/>
      <c r="U117" s="131"/>
      <c r="V117" s="207"/>
      <c r="W117" s="202"/>
      <c r="X117" s="202"/>
      <c r="Y117" s="220"/>
      <c r="Z117" s="178"/>
      <c r="AA117" s="178"/>
      <c r="AB117" s="184"/>
      <c r="AC117" s="178"/>
      <c r="AD117" s="112"/>
      <c r="AE117" s="184"/>
      <c r="AF117" s="178"/>
      <c r="AG117" s="2"/>
      <c r="AH117" s="96"/>
    </row>
    <row r="118" spans="1:35" ht="21" customHeight="1" x14ac:dyDescent="0.3">
      <c r="A118" s="59"/>
      <c r="B118" s="6" t="s">
        <v>44</v>
      </c>
      <c r="C118" s="8"/>
      <c r="D118" s="7"/>
      <c r="E118" s="7"/>
      <c r="F118" s="12"/>
      <c r="G118" s="7"/>
      <c r="H118" s="137"/>
      <c r="I118" s="125"/>
      <c r="J118" s="126"/>
      <c r="K118" s="45"/>
      <c r="L118" s="127"/>
      <c r="M118" s="183"/>
      <c r="N118" s="177"/>
      <c r="O118" s="129"/>
      <c r="P118" s="183"/>
      <c r="Q118" s="128">
        <v>4260</v>
      </c>
      <c r="R118" s="128"/>
      <c r="S118" s="250">
        <f>Q118+R118</f>
        <v>4260</v>
      </c>
      <c r="T118" s="192"/>
      <c r="U118" s="131"/>
      <c r="V118" s="207"/>
      <c r="W118" s="202"/>
      <c r="X118" s="202"/>
      <c r="Y118" s="220"/>
      <c r="Z118" s="178"/>
      <c r="AA118" s="178"/>
      <c r="AB118" s="184"/>
      <c r="AC118" s="178"/>
      <c r="AD118" s="112"/>
      <c r="AE118" s="184"/>
      <c r="AF118" s="178"/>
      <c r="AG118" s="2"/>
      <c r="AH118" s="96"/>
    </row>
    <row r="119" spans="1:35" ht="90.75" customHeight="1" x14ac:dyDescent="0.3">
      <c r="A119" s="59"/>
      <c r="B119" s="249" t="s">
        <v>125</v>
      </c>
      <c r="C119" s="8"/>
      <c r="D119" s="7">
        <v>2021</v>
      </c>
      <c r="E119" s="7"/>
      <c r="F119" s="12"/>
      <c r="G119" s="7"/>
      <c r="H119" s="137"/>
      <c r="I119" s="125">
        <v>4990</v>
      </c>
      <c r="J119" s="126"/>
      <c r="K119" s="45"/>
      <c r="L119" s="127"/>
      <c r="M119" s="183"/>
      <c r="N119" s="177"/>
      <c r="O119" s="129"/>
      <c r="P119" s="183"/>
      <c r="Q119" s="188">
        <f>Q120+Q121</f>
        <v>4990</v>
      </c>
      <c r="R119" s="188">
        <f t="shared" ref="R119:S119" si="129">R120+R121</f>
        <v>0</v>
      </c>
      <c r="S119" s="250">
        <f t="shared" si="129"/>
        <v>4990</v>
      </c>
      <c r="T119" s="192"/>
      <c r="U119" s="131"/>
      <c r="V119" s="207"/>
      <c r="W119" s="202"/>
      <c r="X119" s="202"/>
      <c r="Y119" s="220"/>
      <c r="Z119" s="178"/>
      <c r="AA119" s="178"/>
      <c r="AB119" s="184"/>
      <c r="AC119" s="178"/>
      <c r="AD119" s="112"/>
      <c r="AE119" s="184"/>
      <c r="AF119" s="178"/>
      <c r="AG119" s="2"/>
      <c r="AH119" s="96"/>
    </row>
    <row r="120" spans="1:35" ht="21" customHeight="1" x14ac:dyDescent="0.3">
      <c r="A120" s="59"/>
      <c r="B120" s="26" t="s">
        <v>22</v>
      </c>
      <c r="C120" s="27"/>
      <c r="D120" s="28"/>
      <c r="E120" s="28"/>
      <c r="F120" s="34"/>
      <c r="G120" s="28"/>
      <c r="H120" s="138"/>
      <c r="I120" s="272"/>
      <c r="J120" s="273"/>
      <c r="K120" s="274"/>
      <c r="L120" s="275"/>
      <c r="M120" s="276"/>
      <c r="N120" s="277"/>
      <c r="O120" s="278"/>
      <c r="P120" s="276"/>
      <c r="Q120" s="279"/>
      <c r="R120" s="278"/>
      <c r="S120" s="276"/>
      <c r="T120" s="280"/>
      <c r="U120" s="281"/>
      <c r="V120" s="282"/>
      <c r="W120" s="283"/>
      <c r="X120" s="283"/>
      <c r="Y120" s="284"/>
      <c r="Z120" s="198"/>
      <c r="AA120" s="198"/>
      <c r="AB120" s="216"/>
      <c r="AC120" s="198"/>
      <c r="AD120" s="113"/>
      <c r="AE120" s="216"/>
      <c r="AF120" s="198"/>
      <c r="AG120" s="232"/>
      <c r="AH120" s="235"/>
    </row>
    <row r="121" spans="1:35" ht="21" customHeight="1" x14ac:dyDescent="0.3">
      <c r="A121" s="59"/>
      <c r="B121" s="6" t="s">
        <v>23</v>
      </c>
      <c r="C121" s="8"/>
      <c r="D121" s="7"/>
      <c r="E121" s="7"/>
      <c r="F121" s="12"/>
      <c r="G121" s="7"/>
      <c r="H121" s="137"/>
      <c r="I121" s="125"/>
      <c r="J121" s="126"/>
      <c r="K121" s="45"/>
      <c r="L121" s="127"/>
      <c r="M121" s="183"/>
      <c r="N121" s="177"/>
      <c r="O121" s="129"/>
      <c r="P121" s="183"/>
      <c r="Q121" s="188">
        <f>Q122+Q123</f>
        <v>4990</v>
      </c>
      <c r="R121" s="188">
        <f t="shared" ref="R121:S121" si="130">R122+R123</f>
        <v>0</v>
      </c>
      <c r="S121" s="250">
        <f t="shared" si="130"/>
        <v>4990</v>
      </c>
      <c r="T121" s="192"/>
      <c r="U121" s="131"/>
      <c r="V121" s="207"/>
      <c r="W121" s="202"/>
      <c r="X121" s="202"/>
      <c r="Y121" s="220"/>
      <c r="Z121" s="178"/>
      <c r="AA121" s="178"/>
      <c r="AB121" s="184"/>
      <c r="AC121" s="178"/>
      <c r="AD121" s="112"/>
      <c r="AE121" s="184"/>
      <c r="AF121" s="178"/>
      <c r="AG121" s="2"/>
      <c r="AH121" s="96"/>
    </row>
    <row r="122" spans="1:35" ht="21" customHeight="1" x14ac:dyDescent="0.3">
      <c r="A122" s="59"/>
      <c r="B122" s="6" t="s">
        <v>35</v>
      </c>
      <c r="C122" s="8"/>
      <c r="D122" s="7"/>
      <c r="E122" s="7"/>
      <c r="F122" s="12"/>
      <c r="G122" s="7"/>
      <c r="H122" s="137"/>
      <c r="I122" s="125"/>
      <c r="J122" s="126"/>
      <c r="K122" s="45"/>
      <c r="L122" s="127"/>
      <c r="M122" s="183"/>
      <c r="N122" s="177"/>
      <c r="O122" s="129"/>
      <c r="P122" s="183"/>
      <c r="Q122" s="128">
        <v>740</v>
      </c>
      <c r="R122" s="128"/>
      <c r="S122" s="250">
        <f>Q122+R122</f>
        <v>740</v>
      </c>
      <c r="T122" s="192"/>
      <c r="U122" s="131"/>
      <c r="V122" s="207"/>
      <c r="W122" s="202"/>
      <c r="X122" s="202"/>
      <c r="Y122" s="220"/>
      <c r="Z122" s="178"/>
      <c r="AA122" s="178"/>
      <c r="AB122" s="184"/>
      <c r="AC122" s="178"/>
      <c r="AD122" s="112"/>
      <c r="AE122" s="184"/>
      <c r="AF122" s="178"/>
      <c r="AG122" s="2"/>
      <c r="AH122" s="96"/>
    </row>
    <row r="123" spans="1:35" ht="21" customHeight="1" x14ac:dyDescent="0.3">
      <c r="A123" s="59"/>
      <c r="B123" s="6" t="s">
        <v>44</v>
      </c>
      <c r="C123" s="8"/>
      <c r="D123" s="7"/>
      <c r="E123" s="7"/>
      <c r="F123" s="12"/>
      <c r="G123" s="7"/>
      <c r="H123" s="137"/>
      <c r="I123" s="125"/>
      <c r="J123" s="126"/>
      <c r="K123" s="45"/>
      <c r="L123" s="127"/>
      <c r="M123" s="183"/>
      <c r="N123" s="177"/>
      <c r="O123" s="129"/>
      <c r="P123" s="183"/>
      <c r="Q123" s="128">
        <v>4250</v>
      </c>
      <c r="R123" s="128"/>
      <c r="S123" s="250">
        <f>Q123+R123</f>
        <v>4250</v>
      </c>
      <c r="T123" s="192"/>
      <c r="U123" s="131"/>
      <c r="V123" s="207"/>
      <c r="W123" s="202"/>
      <c r="X123" s="202"/>
      <c r="Y123" s="220"/>
      <c r="Z123" s="178"/>
      <c r="AA123" s="178"/>
      <c r="AB123" s="184"/>
      <c r="AC123" s="178"/>
      <c r="AD123" s="112"/>
      <c r="AE123" s="184"/>
      <c r="AF123" s="178"/>
      <c r="AG123" s="2"/>
      <c r="AH123" s="96"/>
    </row>
    <row r="124" spans="1:35" s="158" customFormat="1" ht="121.5" customHeight="1" x14ac:dyDescent="0.3">
      <c r="A124" s="343">
        <v>46</v>
      </c>
      <c r="B124" s="43" t="s">
        <v>80</v>
      </c>
      <c r="C124" s="46"/>
      <c r="D124" s="14">
        <v>2026</v>
      </c>
      <c r="E124" s="345">
        <v>6.62</v>
      </c>
      <c r="F124" s="243">
        <v>850</v>
      </c>
      <c r="G124" s="14">
        <v>12.55</v>
      </c>
      <c r="H124" s="140"/>
      <c r="I124" s="91">
        <v>4890055</v>
      </c>
      <c r="J124" s="243">
        <v>12</v>
      </c>
      <c r="K124" s="243">
        <v>550</v>
      </c>
      <c r="L124" s="48">
        <v>3715000</v>
      </c>
      <c r="M124" s="91">
        <v>0</v>
      </c>
      <c r="N124" s="84"/>
      <c r="O124" s="48"/>
      <c r="P124" s="91">
        <f>N124+O124</f>
        <v>0</v>
      </c>
      <c r="Q124" s="84"/>
      <c r="R124" s="48"/>
      <c r="S124" s="91">
        <f>Q124+R124</f>
        <v>0</v>
      </c>
      <c r="T124" s="190"/>
      <c r="U124" s="50"/>
      <c r="V124" s="204"/>
      <c r="W124" s="190">
        <f>W125+W126</f>
        <v>12831.7</v>
      </c>
      <c r="X124" s="190">
        <f t="shared" ref="X124:Y124" si="131">X125+X126</f>
        <v>0</v>
      </c>
      <c r="Y124" s="204">
        <f t="shared" si="131"/>
        <v>12831.7</v>
      </c>
      <c r="Z124" s="190">
        <f>Z125+Z126</f>
        <v>52141.8</v>
      </c>
      <c r="AA124" s="190">
        <f t="shared" ref="AA124:AB124" si="132">AA125+AA126</f>
        <v>0</v>
      </c>
      <c r="AB124" s="204">
        <f t="shared" si="132"/>
        <v>52141.8</v>
      </c>
      <c r="AC124" s="190">
        <f>AC125+AC126</f>
        <v>2200000</v>
      </c>
      <c r="AD124" s="190">
        <f t="shared" ref="AD124:AE124" si="133">AD125+AD126</f>
        <v>0</v>
      </c>
      <c r="AE124" s="204">
        <f t="shared" si="133"/>
        <v>2200000</v>
      </c>
      <c r="AF124" s="269">
        <f>AF125+AF126</f>
        <v>2625081.5</v>
      </c>
      <c r="AG124" s="269">
        <f t="shared" ref="AG124:AH124" si="134">AG125+AG126</f>
        <v>0</v>
      </c>
      <c r="AH124" s="288">
        <f t="shared" si="134"/>
        <v>2625081.5</v>
      </c>
      <c r="AI124" s="265">
        <f>I124-M124-P124-S124-V124-Y124-AB124-AE124-AH124</f>
        <v>0</v>
      </c>
    </row>
    <row r="125" spans="1:35" s="158" customFormat="1" ht="28.5" customHeight="1" x14ac:dyDescent="0.3">
      <c r="A125" s="157"/>
      <c r="B125" s="26" t="s">
        <v>22</v>
      </c>
      <c r="C125" s="33"/>
      <c r="D125" s="28"/>
      <c r="E125" s="266"/>
      <c r="F125" s="245"/>
      <c r="G125" s="28"/>
      <c r="H125" s="138"/>
      <c r="I125" s="92"/>
      <c r="J125" s="245"/>
      <c r="K125" s="245"/>
      <c r="L125" s="35"/>
      <c r="M125" s="92"/>
      <c r="N125" s="85"/>
      <c r="O125" s="35"/>
      <c r="P125" s="92"/>
      <c r="Q125" s="85"/>
      <c r="R125" s="35"/>
      <c r="S125" s="92"/>
      <c r="T125" s="189"/>
      <c r="U125" s="37"/>
      <c r="V125" s="203"/>
      <c r="W125" s="189">
        <f>W128</f>
        <v>0</v>
      </c>
      <c r="X125" s="189">
        <f t="shared" ref="X125:Y125" si="135">X128</f>
        <v>0</v>
      </c>
      <c r="Y125" s="203">
        <f t="shared" si="135"/>
        <v>0</v>
      </c>
      <c r="Z125" s="189">
        <f>Z128</f>
        <v>0</v>
      </c>
      <c r="AA125" s="189">
        <f t="shared" ref="AA125:AB125" si="136">AA128</f>
        <v>0</v>
      </c>
      <c r="AB125" s="203">
        <f t="shared" si="136"/>
        <v>0</v>
      </c>
      <c r="AC125" s="189">
        <f>AC128</f>
        <v>2200000</v>
      </c>
      <c r="AD125" s="189">
        <f t="shared" ref="AD125:AE125" si="137">AD128</f>
        <v>0</v>
      </c>
      <c r="AE125" s="203">
        <f t="shared" si="137"/>
        <v>2200000</v>
      </c>
      <c r="AF125" s="268">
        <f>AF128</f>
        <v>2625081.5</v>
      </c>
      <c r="AG125" s="268">
        <f t="shared" ref="AG125:AH125" si="138">AG128</f>
        <v>0</v>
      </c>
      <c r="AH125" s="285">
        <f t="shared" si="138"/>
        <v>2625081.5</v>
      </c>
    </row>
    <row r="126" spans="1:35" s="158" customFormat="1" ht="28.5" customHeight="1" x14ac:dyDescent="0.3">
      <c r="A126" s="157"/>
      <c r="B126" s="6" t="s">
        <v>23</v>
      </c>
      <c r="C126" s="46"/>
      <c r="D126" s="14"/>
      <c r="E126" s="244"/>
      <c r="F126" s="243"/>
      <c r="G126" s="14"/>
      <c r="H126" s="140"/>
      <c r="I126" s="91"/>
      <c r="J126" s="243"/>
      <c r="K126" s="243"/>
      <c r="L126" s="48"/>
      <c r="M126" s="91"/>
      <c r="N126" s="84"/>
      <c r="O126" s="48"/>
      <c r="P126" s="91"/>
      <c r="Q126" s="84"/>
      <c r="R126" s="48"/>
      <c r="S126" s="91"/>
      <c r="T126" s="190"/>
      <c r="U126" s="50"/>
      <c r="V126" s="204"/>
      <c r="W126" s="190">
        <f>W127</f>
        <v>12831.7</v>
      </c>
      <c r="X126" s="190">
        <f t="shared" ref="X126:Y126" si="139">X127</f>
        <v>0</v>
      </c>
      <c r="Y126" s="204">
        <f t="shared" si="139"/>
        <v>12831.7</v>
      </c>
      <c r="Z126" s="190">
        <f>Z127</f>
        <v>52141.8</v>
      </c>
      <c r="AA126" s="190">
        <f t="shared" ref="AA126:AB126" si="140">AA127</f>
        <v>0</v>
      </c>
      <c r="AB126" s="204">
        <f t="shared" si="140"/>
        <v>52141.8</v>
      </c>
      <c r="AC126" s="190"/>
      <c r="AD126" s="190"/>
      <c r="AE126" s="204"/>
      <c r="AF126" s="212"/>
      <c r="AG126" s="237"/>
      <c r="AH126" s="234"/>
    </row>
    <row r="127" spans="1:35" s="158" customFormat="1" ht="28.5" customHeight="1" x14ac:dyDescent="0.3">
      <c r="A127" s="157"/>
      <c r="B127" s="6" t="s">
        <v>35</v>
      </c>
      <c r="C127" s="46"/>
      <c r="D127" s="14"/>
      <c r="E127" s="244"/>
      <c r="F127" s="243"/>
      <c r="G127" s="14"/>
      <c r="H127" s="140"/>
      <c r="I127" s="91"/>
      <c r="J127" s="243"/>
      <c r="K127" s="243"/>
      <c r="L127" s="48"/>
      <c r="M127" s="91"/>
      <c r="N127" s="84"/>
      <c r="O127" s="48"/>
      <c r="P127" s="91"/>
      <c r="Q127" s="84"/>
      <c r="R127" s="48"/>
      <c r="S127" s="91"/>
      <c r="T127" s="190"/>
      <c r="U127" s="50"/>
      <c r="V127" s="204"/>
      <c r="W127" s="50">
        <v>12831.7</v>
      </c>
      <c r="X127" s="50"/>
      <c r="Y127" s="204">
        <f>W127+X127</f>
        <v>12831.7</v>
      </c>
      <c r="Z127" s="190">
        <f>51932.5+209.3</f>
        <v>52141.8</v>
      </c>
      <c r="AA127" s="190"/>
      <c r="AB127" s="204">
        <f>Z127+AA127</f>
        <v>52141.8</v>
      </c>
      <c r="AC127" s="190"/>
      <c r="AD127" s="190"/>
      <c r="AE127" s="204"/>
      <c r="AF127" s="212"/>
      <c r="AG127" s="237"/>
      <c r="AH127" s="234"/>
    </row>
    <row r="128" spans="1:35" s="158" customFormat="1" ht="28.5" customHeight="1" x14ac:dyDescent="0.3">
      <c r="A128" s="157"/>
      <c r="B128" s="6" t="s">
        <v>44</v>
      </c>
      <c r="C128" s="46"/>
      <c r="D128" s="14"/>
      <c r="E128" s="244"/>
      <c r="F128" s="243"/>
      <c r="G128" s="14"/>
      <c r="H128" s="140"/>
      <c r="I128" s="91"/>
      <c r="J128" s="243"/>
      <c r="K128" s="243"/>
      <c r="L128" s="48"/>
      <c r="M128" s="91"/>
      <c r="N128" s="84"/>
      <c r="O128" s="48"/>
      <c r="P128" s="91"/>
      <c r="Q128" s="84"/>
      <c r="R128" s="48"/>
      <c r="S128" s="91"/>
      <c r="T128" s="190"/>
      <c r="U128" s="50"/>
      <c r="V128" s="204"/>
      <c r="W128" s="190">
        <f>1200000-1200000</f>
        <v>0</v>
      </c>
      <c r="X128" s="190"/>
      <c r="Y128" s="204">
        <f>W128+X128</f>
        <v>0</v>
      </c>
      <c r="Z128" s="190">
        <f>1315000-1315000</f>
        <v>0</v>
      </c>
      <c r="AA128" s="190"/>
      <c r="AB128" s="204">
        <f>Z128+AA128</f>
        <v>0</v>
      </c>
      <c r="AC128" s="190">
        <f>1200000+1000000</f>
        <v>2200000</v>
      </c>
      <c r="AD128" s="190"/>
      <c r="AE128" s="204">
        <f>AC128+AD128</f>
        <v>2200000</v>
      </c>
      <c r="AF128" s="237">
        <f>2450026.5+175055</f>
        <v>2625081.5</v>
      </c>
      <c r="AG128" s="237"/>
      <c r="AH128" s="267">
        <f>AF128+AG128</f>
        <v>2625081.5</v>
      </c>
    </row>
    <row r="129" spans="1:35" ht="63.75" customHeight="1" x14ac:dyDescent="0.3">
      <c r="A129" s="343">
        <v>47</v>
      </c>
      <c r="B129" s="43" t="s">
        <v>79</v>
      </c>
      <c r="C129" s="46"/>
      <c r="D129" s="14">
        <v>2026</v>
      </c>
      <c r="E129" s="167">
        <v>7.7450000000000001</v>
      </c>
      <c r="F129" s="243">
        <v>305</v>
      </c>
      <c r="G129" s="14">
        <v>8.0500000000000007</v>
      </c>
      <c r="H129" s="140"/>
      <c r="I129" s="91">
        <v>3486950</v>
      </c>
      <c r="J129" s="243">
        <v>1</v>
      </c>
      <c r="K129" s="243">
        <v>220</v>
      </c>
      <c r="L129" s="48">
        <v>1380000</v>
      </c>
      <c r="M129" s="91">
        <v>0</v>
      </c>
      <c r="N129" s="84"/>
      <c r="O129" s="48"/>
      <c r="P129" s="91">
        <f t="shared" ref="P129:P169" si="141">N129+O129</f>
        <v>0</v>
      </c>
      <c r="Q129" s="84"/>
      <c r="R129" s="48"/>
      <c r="S129" s="91">
        <f t="shared" ref="S129:S169" si="142">Q129+R129</f>
        <v>0</v>
      </c>
      <c r="T129" s="190"/>
      <c r="U129" s="50"/>
      <c r="V129" s="204"/>
      <c r="W129" s="190">
        <v>395000</v>
      </c>
      <c r="X129" s="50">
        <v>-395000</v>
      </c>
      <c r="Y129" s="204">
        <f>W129+X129</f>
        <v>0</v>
      </c>
      <c r="Z129" s="190">
        <f>Z130+Z131</f>
        <v>8408.7999999999993</v>
      </c>
      <c r="AA129" s="190">
        <f t="shared" ref="AA129:AB129" si="143">AA130+AA131</f>
        <v>0</v>
      </c>
      <c r="AB129" s="204">
        <f t="shared" si="143"/>
        <v>8408.7999999999993</v>
      </c>
      <c r="AC129" s="190">
        <f>AC130+AC131</f>
        <v>24312.3</v>
      </c>
      <c r="AD129" s="190">
        <f t="shared" ref="AD129:AE129" si="144">AD130+AD131</f>
        <v>0</v>
      </c>
      <c r="AE129" s="204">
        <f t="shared" si="144"/>
        <v>24312.3</v>
      </c>
      <c r="AF129" s="269">
        <f>AF130+AF131</f>
        <v>3454228.9</v>
      </c>
      <c r="AG129" s="269">
        <f t="shared" ref="AG129:AH129" si="145">AG130+AG131</f>
        <v>0</v>
      </c>
      <c r="AH129" s="288">
        <f t="shared" si="145"/>
        <v>3454228.9</v>
      </c>
      <c r="AI129" s="40">
        <f>I129-M129-P129-S129-V129-Y129-AB129-AE129-AH129</f>
        <v>0</v>
      </c>
    </row>
    <row r="130" spans="1:35" ht="24.75" customHeight="1" x14ac:dyDescent="0.3">
      <c r="A130" s="59"/>
      <c r="B130" s="26" t="s">
        <v>22</v>
      </c>
      <c r="C130" s="33"/>
      <c r="D130" s="28"/>
      <c r="E130" s="19"/>
      <c r="F130" s="245"/>
      <c r="G130" s="28"/>
      <c r="H130" s="138"/>
      <c r="I130" s="92"/>
      <c r="J130" s="245"/>
      <c r="K130" s="245"/>
      <c r="L130" s="35"/>
      <c r="M130" s="92"/>
      <c r="N130" s="85"/>
      <c r="O130" s="35"/>
      <c r="P130" s="92"/>
      <c r="Q130" s="85"/>
      <c r="R130" s="35"/>
      <c r="S130" s="92"/>
      <c r="T130" s="189"/>
      <c r="U130" s="37"/>
      <c r="V130" s="203"/>
      <c r="W130" s="189"/>
      <c r="X130" s="37"/>
      <c r="Y130" s="203"/>
      <c r="Z130" s="189">
        <f>Z133</f>
        <v>0</v>
      </c>
      <c r="AA130" s="189">
        <f t="shared" ref="AA130:AB130" si="146">AA133</f>
        <v>0</v>
      </c>
      <c r="AB130" s="203">
        <f t="shared" si="146"/>
        <v>0</v>
      </c>
      <c r="AC130" s="268">
        <f>AC133</f>
        <v>0</v>
      </c>
      <c r="AD130" s="268">
        <f t="shared" ref="AD130:AE130" si="147">AD133</f>
        <v>0</v>
      </c>
      <c r="AE130" s="285">
        <f t="shared" si="147"/>
        <v>0</v>
      </c>
      <c r="AF130" s="268">
        <f>AF133</f>
        <v>3454228.9</v>
      </c>
      <c r="AG130" s="268">
        <f t="shared" ref="AG130:AH130" si="148">AG133</f>
        <v>0</v>
      </c>
      <c r="AH130" s="285">
        <f t="shared" si="148"/>
        <v>3454228.9</v>
      </c>
    </row>
    <row r="131" spans="1:35" ht="24.75" customHeight="1" x14ac:dyDescent="0.3">
      <c r="A131" s="59"/>
      <c r="B131" s="6" t="s">
        <v>23</v>
      </c>
      <c r="C131" s="46"/>
      <c r="D131" s="14"/>
      <c r="E131" s="167"/>
      <c r="F131" s="243"/>
      <c r="G131" s="14"/>
      <c r="H131" s="140"/>
      <c r="I131" s="91"/>
      <c r="J131" s="243"/>
      <c r="K131" s="243"/>
      <c r="L131" s="48"/>
      <c r="M131" s="91"/>
      <c r="N131" s="84"/>
      <c r="O131" s="48"/>
      <c r="P131" s="91"/>
      <c r="Q131" s="84"/>
      <c r="R131" s="48"/>
      <c r="S131" s="91"/>
      <c r="T131" s="190"/>
      <c r="U131" s="50"/>
      <c r="V131" s="204"/>
      <c r="W131" s="190"/>
      <c r="X131" s="50"/>
      <c r="Y131" s="204"/>
      <c r="Z131" s="50">
        <f>Z132</f>
        <v>8408.7999999999993</v>
      </c>
      <c r="AA131" s="50">
        <f>AA132</f>
        <v>0</v>
      </c>
      <c r="AB131" s="204">
        <f>AB132</f>
        <v>8408.7999999999993</v>
      </c>
      <c r="AC131" s="212">
        <f>AC132</f>
        <v>24312.3</v>
      </c>
      <c r="AD131" s="212">
        <f t="shared" ref="AD131:AE131" si="149">AD132</f>
        <v>0</v>
      </c>
      <c r="AE131" s="224">
        <f t="shared" si="149"/>
        <v>24312.3</v>
      </c>
      <c r="AF131" s="212"/>
      <c r="AG131" s="76"/>
      <c r="AH131" s="96"/>
    </row>
    <row r="132" spans="1:35" ht="24.75" customHeight="1" x14ac:dyDescent="0.3">
      <c r="A132" s="59"/>
      <c r="B132" s="6" t="s">
        <v>35</v>
      </c>
      <c r="C132" s="46"/>
      <c r="D132" s="14"/>
      <c r="E132" s="167"/>
      <c r="F132" s="243"/>
      <c r="G132" s="14"/>
      <c r="H132" s="140"/>
      <c r="I132" s="91"/>
      <c r="J132" s="243"/>
      <c r="K132" s="243"/>
      <c r="L132" s="48"/>
      <c r="M132" s="91"/>
      <c r="N132" s="84"/>
      <c r="O132" s="48"/>
      <c r="P132" s="91"/>
      <c r="Q132" s="84"/>
      <c r="R132" s="48"/>
      <c r="S132" s="91"/>
      <c r="T132" s="190"/>
      <c r="U132" s="50"/>
      <c r="V132" s="204"/>
      <c r="W132" s="190"/>
      <c r="X132" s="50"/>
      <c r="Y132" s="204"/>
      <c r="Z132" s="50">
        <v>8408.7999999999993</v>
      </c>
      <c r="AA132" s="50"/>
      <c r="AB132" s="204">
        <f>Z132+AA132</f>
        <v>8408.7999999999993</v>
      </c>
      <c r="AC132" s="169">
        <f>24103+209.3</f>
        <v>24312.3</v>
      </c>
      <c r="AD132" s="169"/>
      <c r="AE132" s="224">
        <f>AC132+AD132</f>
        <v>24312.3</v>
      </c>
      <c r="AF132" s="212"/>
      <c r="AG132" s="76"/>
      <c r="AH132" s="96"/>
    </row>
    <row r="133" spans="1:35" ht="24.75" customHeight="1" x14ac:dyDescent="0.3">
      <c r="A133" s="59"/>
      <c r="B133" s="6" t="s">
        <v>44</v>
      </c>
      <c r="C133" s="46"/>
      <c r="D133" s="14"/>
      <c r="E133" s="167"/>
      <c r="F133" s="243"/>
      <c r="G133" s="14"/>
      <c r="H133" s="140"/>
      <c r="I133" s="91"/>
      <c r="J133" s="243"/>
      <c r="K133" s="243"/>
      <c r="L133" s="48"/>
      <c r="M133" s="91"/>
      <c r="N133" s="84"/>
      <c r="O133" s="48"/>
      <c r="P133" s="91"/>
      <c r="Q133" s="84"/>
      <c r="R133" s="48"/>
      <c r="S133" s="91"/>
      <c r="T133" s="190"/>
      <c r="U133" s="50"/>
      <c r="V133" s="204"/>
      <c r="W133" s="190"/>
      <c r="X133" s="50"/>
      <c r="Y133" s="204"/>
      <c r="Z133" s="190">
        <f>985000-985000</f>
        <v>0</v>
      </c>
      <c r="AA133" s="50"/>
      <c r="AB133" s="204">
        <f>Z133+AA133</f>
        <v>0</v>
      </c>
      <c r="AC133" s="212"/>
      <c r="AD133" s="169"/>
      <c r="AE133" s="224">
        <f>AC133+AD133</f>
        <v>0</v>
      </c>
      <c r="AF133" s="302">
        <f>1347278.9+2106950</f>
        <v>3454228.9</v>
      </c>
      <c r="AG133" s="76"/>
      <c r="AH133" s="261">
        <f>AF133+AG133</f>
        <v>3454228.9</v>
      </c>
    </row>
    <row r="134" spans="1:35" ht="156" customHeight="1" x14ac:dyDescent="0.3">
      <c r="A134" s="344"/>
      <c r="B134" s="132" t="s">
        <v>92</v>
      </c>
      <c r="C134" s="46"/>
      <c r="D134" s="14">
        <v>2026</v>
      </c>
      <c r="E134" s="167">
        <v>49</v>
      </c>
      <c r="F134" s="243"/>
      <c r="G134" s="14"/>
      <c r="H134" s="140"/>
      <c r="I134" s="91">
        <v>4465120</v>
      </c>
      <c r="J134" s="243"/>
      <c r="K134" s="243"/>
      <c r="L134" s="48"/>
      <c r="M134" s="91"/>
      <c r="N134" s="84"/>
      <c r="O134" s="48"/>
      <c r="P134" s="91"/>
      <c r="Q134" s="84"/>
      <c r="R134" s="48"/>
      <c r="S134" s="91"/>
      <c r="T134" s="190"/>
      <c r="U134" s="50"/>
      <c r="V134" s="204"/>
      <c r="W134" s="190">
        <f>W135+W136</f>
        <v>23416</v>
      </c>
      <c r="X134" s="190">
        <f t="shared" ref="X134:Y134" si="150">X135+X136</f>
        <v>0</v>
      </c>
      <c r="Y134" s="204">
        <f t="shared" si="150"/>
        <v>23416</v>
      </c>
      <c r="Z134" s="190">
        <f>Z135+Z136</f>
        <v>35509.9</v>
      </c>
      <c r="AA134" s="190">
        <f t="shared" ref="AA134:AB134" si="151">AA135+AA136</f>
        <v>0</v>
      </c>
      <c r="AB134" s="204">
        <f t="shared" si="151"/>
        <v>35509.9</v>
      </c>
      <c r="AC134" s="190">
        <f>AC135+AC136</f>
        <v>2200000</v>
      </c>
      <c r="AD134" s="190">
        <f t="shared" ref="AD134:AE134" si="152">AD135+AD136</f>
        <v>0</v>
      </c>
      <c r="AE134" s="312">
        <f t="shared" si="152"/>
        <v>2200000</v>
      </c>
      <c r="AF134" s="190">
        <f>AF135+AF136</f>
        <v>2206194.1</v>
      </c>
      <c r="AG134" s="190">
        <f t="shared" ref="AG134:AH134" si="153">AG135+AG136</f>
        <v>0</v>
      </c>
      <c r="AH134" s="312">
        <f t="shared" si="153"/>
        <v>2206194.1</v>
      </c>
      <c r="AI134" s="40">
        <f>I134-Y134-AB134-AE134-AH134</f>
        <v>0</v>
      </c>
    </row>
    <row r="135" spans="1:35" ht="24.75" customHeight="1" x14ac:dyDescent="0.3">
      <c r="A135" s="59"/>
      <c r="B135" s="26" t="s">
        <v>22</v>
      </c>
      <c r="C135" s="33"/>
      <c r="D135" s="28"/>
      <c r="E135" s="19"/>
      <c r="F135" s="245"/>
      <c r="G135" s="28"/>
      <c r="H135" s="138"/>
      <c r="I135" s="92"/>
      <c r="J135" s="245"/>
      <c r="K135" s="245"/>
      <c r="L135" s="35"/>
      <c r="M135" s="92"/>
      <c r="N135" s="85"/>
      <c r="O135" s="35"/>
      <c r="P135" s="92"/>
      <c r="Q135" s="85"/>
      <c r="R135" s="35"/>
      <c r="S135" s="92"/>
      <c r="T135" s="189"/>
      <c r="U135" s="37"/>
      <c r="V135" s="203"/>
      <c r="W135" s="189"/>
      <c r="X135" s="37"/>
      <c r="Y135" s="203"/>
      <c r="Z135" s="189"/>
      <c r="AA135" s="37"/>
      <c r="AB135" s="203"/>
      <c r="AC135" s="198">
        <f>AC138</f>
        <v>2200000</v>
      </c>
      <c r="AD135" s="198">
        <f t="shared" ref="AD135:AE135" si="154">AD138</f>
        <v>0</v>
      </c>
      <c r="AE135" s="314">
        <f t="shared" si="154"/>
        <v>2200000</v>
      </c>
      <c r="AF135" s="198">
        <f>AF138</f>
        <v>2206194.1</v>
      </c>
      <c r="AG135" s="198">
        <f t="shared" ref="AG135:AH135" si="155">AG138</f>
        <v>0</v>
      </c>
      <c r="AH135" s="314">
        <f t="shared" si="155"/>
        <v>2206194.1</v>
      </c>
    </row>
    <row r="136" spans="1:35" ht="24.75" customHeight="1" x14ac:dyDescent="0.3">
      <c r="A136" s="59"/>
      <c r="B136" s="6" t="s">
        <v>23</v>
      </c>
      <c r="C136" s="46"/>
      <c r="D136" s="14"/>
      <c r="E136" s="167"/>
      <c r="F136" s="243"/>
      <c r="G136" s="14"/>
      <c r="H136" s="140"/>
      <c r="I136" s="91"/>
      <c r="J136" s="243"/>
      <c r="K136" s="243"/>
      <c r="L136" s="48"/>
      <c r="M136" s="91"/>
      <c r="N136" s="84"/>
      <c r="O136" s="48"/>
      <c r="P136" s="91"/>
      <c r="Q136" s="84"/>
      <c r="R136" s="48"/>
      <c r="S136" s="91"/>
      <c r="T136" s="190"/>
      <c r="U136" s="50"/>
      <c r="V136" s="204"/>
      <c r="W136" s="190">
        <f>W137</f>
        <v>23416</v>
      </c>
      <c r="X136" s="190">
        <f t="shared" ref="X136:Y136" si="156">X137</f>
        <v>0</v>
      </c>
      <c r="Y136" s="204">
        <f t="shared" si="156"/>
        <v>23416</v>
      </c>
      <c r="Z136" s="190">
        <f>Z137</f>
        <v>35509.9</v>
      </c>
      <c r="AA136" s="190">
        <f t="shared" ref="AA136:AB136" si="157">AA137</f>
        <v>0</v>
      </c>
      <c r="AB136" s="204">
        <f t="shared" si="157"/>
        <v>35509.9</v>
      </c>
      <c r="AC136" s="212"/>
      <c r="AD136" s="169"/>
      <c r="AE136" s="224"/>
      <c r="AF136" s="212"/>
      <c r="AG136" s="76"/>
      <c r="AH136" s="96"/>
    </row>
    <row r="137" spans="1:35" ht="24.75" customHeight="1" x14ac:dyDescent="0.3">
      <c r="A137" s="59"/>
      <c r="B137" s="6" t="s">
        <v>35</v>
      </c>
      <c r="C137" s="46"/>
      <c r="D137" s="14"/>
      <c r="E137" s="167"/>
      <c r="F137" s="243"/>
      <c r="G137" s="14"/>
      <c r="H137" s="140"/>
      <c r="I137" s="91"/>
      <c r="J137" s="243"/>
      <c r="K137" s="243"/>
      <c r="L137" s="48"/>
      <c r="M137" s="91"/>
      <c r="N137" s="84"/>
      <c r="O137" s="48"/>
      <c r="P137" s="91"/>
      <c r="Q137" s="84"/>
      <c r="R137" s="48"/>
      <c r="S137" s="91"/>
      <c r="T137" s="190"/>
      <c r="U137" s="50"/>
      <c r="V137" s="204"/>
      <c r="W137" s="50">
        <v>23416</v>
      </c>
      <c r="X137" s="50"/>
      <c r="Y137" s="204">
        <f>W137+X137</f>
        <v>23416</v>
      </c>
      <c r="Z137" s="50">
        <f>35308.3+201.6</f>
        <v>35509.9</v>
      </c>
      <c r="AA137" s="50"/>
      <c r="AB137" s="204">
        <f>Z137+AA137</f>
        <v>35509.9</v>
      </c>
      <c r="AC137" s="212"/>
      <c r="AD137" s="169"/>
      <c r="AE137" s="224"/>
      <c r="AF137" s="212"/>
      <c r="AG137" s="76"/>
      <c r="AH137" s="96"/>
    </row>
    <row r="138" spans="1:35" ht="24.75" customHeight="1" x14ac:dyDescent="0.3">
      <c r="A138" s="59"/>
      <c r="B138" s="6" t="s">
        <v>44</v>
      </c>
      <c r="C138" s="46"/>
      <c r="D138" s="14"/>
      <c r="E138" s="167"/>
      <c r="F138" s="243"/>
      <c r="G138" s="14"/>
      <c r="H138" s="140"/>
      <c r="I138" s="91"/>
      <c r="J138" s="243"/>
      <c r="K138" s="243"/>
      <c r="L138" s="48"/>
      <c r="M138" s="91"/>
      <c r="N138" s="84"/>
      <c r="O138" s="48"/>
      <c r="P138" s="91"/>
      <c r="Q138" s="84"/>
      <c r="R138" s="48"/>
      <c r="S138" s="91"/>
      <c r="T138" s="190"/>
      <c r="U138" s="50"/>
      <c r="V138" s="204"/>
      <c r="W138" s="190"/>
      <c r="X138" s="50"/>
      <c r="Y138" s="204"/>
      <c r="Z138" s="190"/>
      <c r="AA138" s="50"/>
      <c r="AB138" s="204"/>
      <c r="AC138" s="169">
        <v>2200000</v>
      </c>
      <c r="AD138" s="169"/>
      <c r="AE138" s="224">
        <f>AC138+AD138</f>
        <v>2200000</v>
      </c>
      <c r="AF138" s="302">
        <v>2206194.1</v>
      </c>
      <c r="AG138" s="302"/>
      <c r="AH138" s="261">
        <f>AF138+AG138</f>
        <v>2206194.1</v>
      </c>
    </row>
    <row r="139" spans="1:35" ht="64.5" customHeight="1" x14ac:dyDescent="0.3">
      <c r="A139" s="344"/>
      <c r="B139" s="43" t="s">
        <v>86</v>
      </c>
      <c r="C139" s="46"/>
      <c r="D139" s="14">
        <v>2026</v>
      </c>
      <c r="E139" s="167">
        <v>58.55</v>
      </c>
      <c r="F139" s="243"/>
      <c r="G139" s="14"/>
      <c r="H139" s="140"/>
      <c r="I139" s="91">
        <v>2902380</v>
      </c>
      <c r="J139" s="243"/>
      <c r="K139" s="243"/>
      <c r="L139" s="48"/>
      <c r="M139" s="91"/>
      <c r="N139" s="84"/>
      <c r="O139" s="48"/>
      <c r="P139" s="91"/>
      <c r="Q139" s="84"/>
      <c r="R139" s="48"/>
      <c r="S139" s="91"/>
      <c r="T139" s="190"/>
      <c r="U139" s="50"/>
      <c r="V139" s="204"/>
      <c r="W139" s="190">
        <f>W140+W141</f>
        <v>20916.5</v>
      </c>
      <c r="X139" s="190">
        <f t="shared" ref="X139:Y139" si="158">X140+X141</f>
        <v>0</v>
      </c>
      <c r="Y139" s="204">
        <f t="shared" si="158"/>
        <v>20916.5</v>
      </c>
      <c r="Z139" s="190">
        <f>Z140+Z141</f>
        <v>25555.199999999997</v>
      </c>
      <c r="AA139" s="190">
        <f t="shared" ref="AA139:AB139" si="159">AA140+AA141</f>
        <v>0</v>
      </c>
      <c r="AB139" s="204">
        <f t="shared" si="159"/>
        <v>25555.199999999997</v>
      </c>
      <c r="AC139" s="190">
        <f>AB139+Y139</f>
        <v>46471.7</v>
      </c>
      <c r="AD139" s="190">
        <f t="shared" ref="AD139:AE139" si="160">AD140+AD141</f>
        <v>0</v>
      </c>
      <c r="AE139" s="312">
        <f t="shared" si="160"/>
        <v>1400000</v>
      </c>
      <c r="AF139" s="190">
        <f>AF140+AF141</f>
        <v>1455908.3</v>
      </c>
      <c r="AG139" s="190">
        <f t="shared" ref="AG139:AH139" si="161">AG140+AG141</f>
        <v>0</v>
      </c>
      <c r="AH139" s="312">
        <f t="shared" si="161"/>
        <v>1455908.3</v>
      </c>
      <c r="AI139" s="40">
        <f>I139-Y139-AB139-AE139-AH139</f>
        <v>0</v>
      </c>
    </row>
    <row r="140" spans="1:35" ht="24.75" customHeight="1" x14ac:dyDescent="0.3">
      <c r="A140" s="59"/>
      <c r="B140" s="26" t="s">
        <v>22</v>
      </c>
      <c r="C140" s="33"/>
      <c r="D140" s="28"/>
      <c r="E140" s="19"/>
      <c r="F140" s="245"/>
      <c r="G140" s="28"/>
      <c r="H140" s="138"/>
      <c r="I140" s="92"/>
      <c r="J140" s="245"/>
      <c r="K140" s="245"/>
      <c r="L140" s="35"/>
      <c r="M140" s="92"/>
      <c r="N140" s="85"/>
      <c r="O140" s="35"/>
      <c r="P140" s="92"/>
      <c r="Q140" s="85"/>
      <c r="R140" s="35"/>
      <c r="S140" s="92"/>
      <c r="T140" s="189"/>
      <c r="U140" s="37"/>
      <c r="V140" s="203"/>
      <c r="W140" s="189"/>
      <c r="X140" s="189"/>
      <c r="Y140" s="203"/>
      <c r="Z140" s="189"/>
      <c r="AA140" s="189"/>
      <c r="AB140" s="203"/>
      <c r="AC140" s="198">
        <f>AC143</f>
        <v>1400000</v>
      </c>
      <c r="AD140" s="198">
        <f t="shared" ref="AD140:AE140" si="162">AD143</f>
        <v>0</v>
      </c>
      <c r="AE140" s="314">
        <f t="shared" si="162"/>
        <v>1400000</v>
      </c>
      <c r="AF140" s="198">
        <f>AF143</f>
        <v>1455908.3</v>
      </c>
      <c r="AG140" s="198">
        <f t="shared" ref="AG140:AH140" si="163">AG143</f>
        <v>0</v>
      </c>
      <c r="AH140" s="314">
        <f t="shared" si="163"/>
        <v>1455908.3</v>
      </c>
    </row>
    <row r="141" spans="1:35" ht="24.75" customHeight="1" x14ac:dyDescent="0.3">
      <c r="A141" s="59"/>
      <c r="B141" s="6" t="s">
        <v>23</v>
      </c>
      <c r="C141" s="46"/>
      <c r="D141" s="14"/>
      <c r="E141" s="167"/>
      <c r="F141" s="243"/>
      <c r="G141" s="14"/>
      <c r="H141" s="140"/>
      <c r="I141" s="91"/>
      <c r="J141" s="243"/>
      <c r="K141" s="243"/>
      <c r="L141" s="48"/>
      <c r="M141" s="91"/>
      <c r="N141" s="84"/>
      <c r="O141" s="48"/>
      <c r="P141" s="91"/>
      <c r="Q141" s="84"/>
      <c r="R141" s="48"/>
      <c r="S141" s="91"/>
      <c r="T141" s="190"/>
      <c r="U141" s="50"/>
      <c r="V141" s="204"/>
      <c r="W141" s="190">
        <f>W142</f>
        <v>20916.5</v>
      </c>
      <c r="X141" s="190">
        <f t="shared" ref="X141:Y141" si="164">X142</f>
        <v>0</v>
      </c>
      <c r="Y141" s="204">
        <f t="shared" si="164"/>
        <v>20916.5</v>
      </c>
      <c r="Z141" s="190">
        <f>Z142</f>
        <v>25555.199999999997</v>
      </c>
      <c r="AA141" s="190">
        <f t="shared" ref="AA141:AB141" si="165">AA142</f>
        <v>0</v>
      </c>
      <c r="AB141" s="204">
        <f t="shared" si="165"/>
        <v>25555.199999999997</v>
      </c>
      <c r="AC141" s="212"/>
      <c r="AD141" s="212"/>
      <c r="AE141" s="224"/>
      <c r="AF141" s="212"/>
      <c r="AG141" s="228"/>
      <c r="AH141" s="96"/>
    </row>
    <row r="142" spans="1:35" ht="24.75" customHeight="1" x14ac:dyDescent="0.3">
      <c r="A142" s="59"/>
      <c r="B142" s="6" t="s">
        <v>35</v>
      </c>
      <c r="C142" s="46"/>
      <c r="D142" s="14"/>
      <c r="E142" s="167"/>
      <c r="F142" s="243"/>
      <c r="G142" s="14"/>
      <c r="H142" s="140"/>
      <c r="I142" s="91"/>
      <c r="J142" s="243"/>
      <c r="K142" s="243"/>
      <c r="L142" s="48"/>
      <c r="M142" s="91"/>
      <c r="N142" s="84"/>
      <c r="O142" s="48"/>
      <c r="P142" s="91"/>
      <c r="Q142" s="84"/>
      <c r="R142" s="48"/>
      <c r="S142" s="91"/>
      <c r="T142" s="190"/>
      <c r="U142" s="50"/>
      <c r="V142" s="204"/>
      <c r="W142" s="190">
        <v>20916.5</v>
      </c>
      <c r="X142" s="190"/>
      <c r="Y142" s="204">
        <f>W142+X142</f>
        <v>20916.5</v>
      </c>
      <c r="Z142" s="190">
        <f>25353.6+201.6</f>
        <v>25555.199999999997</v>
      </c>
      <c r="AA142" s="190"/>
      <c r="AB142" s="204">
        <f>Z142+AA142</f>
        <v>25555.199999999997</v>
      </c>
      <c r="AC142" s="212"/>
      <c r="AD142" s="212"/>
      <c r="AE142" s="224"/>
      <c r="AF142" s="212"/>
      <c r="AG142" s="228"/>
      <c r="AH142" s="96"/>
    </row>
    <row r="143" spans="1:35" ht="24.75" customHeight="1" x14ac:dyDescent="0.3">
      <c r="A143" s="59"/>
      <c r="B143" s="6" t="s">
        <v>44</v>
      </c>
      <c r="C143" s="46"/>
      <c r="D143" s="14"/>
      <c r="E143" s="167"/>
      <c r="F143" s="243"/>
      <c r="G143" s="14"/>
      <c r="H143" s="140"/>
      <c r="I143" s="91"/>
      <c r="J143" s="243"/>
      <c r="K143" s="243"/>
      <c r="L143" s="48"/>
      <c r="M143" s="91"/>
      <c r="N143" s="84"/>
      <c r="O143" s="48"/>
      <c r="P143" s="91"/>
      <c r="Q143" s="84"/>
      <c r="R143" s="48"/>
      <c r="S143" s="91"/>
      <c r="T143" s="190"/>
      <c r="U143" s="50"/>
      <c r="V143" s="204"/>
      <c r="W143" s="190"/>
      <c r="X143" s="190"/>
      <c r="Y143" s="204"/>
      <c r="Z143" s="190"/>
      <c r="AA143" s="190"/>
      <c r="AB143" s="204"/>
      <c r="AC143" s="212">
        <v>1400000</v>
      </c>
      <c r="AD143" s="212"/>
      <c r="AE143" s="224">
        <f>AC143+AD143</f>
        <v>1400000</v>
      </c>
      <c r="AF143" s="303">
        <v>1455908.3</v>
      </c>
      <c r="AG143" s="303"/>
      <c r="AH143" s="261">
        <f>AF143+AG143</f>
        <v>1455908.3</v>
      </c>
    </row>
    <row r="144" spans="1:35" ht="131.25" customHeight="1" x14ac:dyDescent="0.3">
      <c r="A144" s="60"/>
      <c r="B144" s="293" t="s">
        <v>126</v>
      </c>
      <c r="C144" s="46"/>
      <c r="D144" s="14">
        <v>2024</v>
      </c>
      <c r="E144" s="167"/>
      <c r="F144" s="297">
        <v>122.2</v>
      </c>
      <c r="G144" s="14"/>
      <c r="H144" s="140"/>
      <c r="I144" s="91">
        <v>803328</v>
      </c>
      <c r="J144" s="243"/>
      <c r="K144" s="243"/>
      <c r="L144" s="48"/>
      <c r="M144" s="91"/>
      <c r="N144" s="84"/>
      <c r="O144" s="48"/>
      <c r="P144" s="91"/>
      <c r="Q144" s="48">
        <f t="shared" ref="Q144:W144" si="166">Q145+Q146</f>
        <v>0</v>
      </c>
      <c r="R144" s="48">
        <f t="shared" si="166"/>
        <v>0</v>
      </c>
      <c r="S144" s="91">
        <f t="shared" si="166"/>
        <v>0</v>
      </c>
      <c r="T144" s="50">
        <f t="shared" si="166"/>
        <v>7356</v>
      </c>
      <c r="U144" s="50">
        <f t="shared" si="166"/>
        <v>0</v>
      </c>
      <c r="V144" s="204">
        <f t="shared" si="166"/>
        <v>7356</v>
      </c>
      <c r="W144" s="190">
        <f t="shared" si="166"/>
        <v>316901</v>
      </c>
      <c r="X144" s="190">
        <f t="shared" ref="X144:Y144" si="167">X145+X146</f>
        <v>0</v>
      </c>
      <c r="Y144" s="190">
        <f t="shared" si="167"/>
        <v>316901</v>
      </c>
      <c r="Z144" s="190">
        <f>Z145+Z146</f>
        <v>479071</v>
      </c>
      <c r="AA144" s="190">
        <f>AA145+AA146</f>
        <v>0</v>
      </c>
      <c r="AB144" s="190">
        <f>AB145+AB146</f>
        <v>479071</v>
      </c>
      <c r="AC144" s="212"/>
      <c r="AD144" s="212"/>
      <c r="AE144" s="224"/>
      <c r="AF144" s="212"/>
      <c r="AG144" s="228"/>
      <c r="AH144" s="96"/>
      <c r="AI144" s="40">
        <f>I144-S144-V144-Y144-AB144</f>
        <v>0</v>
      </c>
    </row>
    <row r="145" spans="1:35" ht="24.75" customHeight="1" x14ac:dyDescent="0.3">
      <c r="A145" s="59"/>
      <c r="B145" s="26" t="s">
        <v>22</v>
      </c>
      <c r="C145" s="33"/>
      <c r="D145" s="28"/>
      <c r="E145" s="19"/>
      <c r="F145" s="245"/>
      <c r="G145" s="28"/>
      <c r="H145" s="138"/>
      <c r="I145" s="92"/>
      <c r="J145" s="245"/>
      <c r="K145" s="245"/>
      <c r="L145" s="35"/>
      <c r="M145" s="92"/>
      <c r="N145" s="85"/>
      <c r="O145" s="35"/>
      <c r="P145" s="92"/>
      <c r="Q145" s="35">
        <f>Q147+Q148</f>
        <v>0</v>
      </c>
      <c r="R145" s="35">
        <f>R147+R148</f>
        <v>0</v>
      </c>
      <c r="S145" s="92">
        <f>S147+S148</f>
        <v>0</v>
      </c>
      <c r="T145" s="189"/>
      <c r="U145" s="37">
        <f>U148</f>
        <v>0</v>
      </c>
      <c r="V145" s="203">
        <f>T145+U145</f>
        <v>0</v>
      </c>
      <c r="W145" s="189">
        <v>270000</v>
      </c>
      <c r="X145" s="189"/>
      <c r="Y145" s="203">
        <f>W145+X145</f>
        <v>270000</v>
      </c>
      <c r="Z145" s="189">
        <v>431164</v>
      </c>
      <c r="AA145" s="189"/>
      <c r="AB145" s="203">
        <f>AA145+Z145</f>
        <v>431164</v>
      </c>
      <c r="AC145" s="198"/>
      <c r="AD145" s="198"/>
      <c r="AE145" s="216"/>
      <c r="AF145" s="198"/>
      <c r="AG145" s="227"/>
      <c r="AH145" s="235"/>
    </row>
    <row r="146" spans="1:35" ht="24.75" customHeight="1" x14ac:dyDescent="0.3">
      <c r="A146" s="59"/>
      <c r="B146" s="6" t="s">
        <v>23</v>
      </c>
      <c r="C146" s="46"/>
      <c r="D146" s="14"/>
      <c r="E146" s="167"/>
      <c r="F146" s="243"/>
      <c r="G146" s="14"/>
      <c r="H146" s="140"/>
      <c r="I146" s="91"/>
      <c r="J146" s="243"/>
      <c r="K146" s="243"/>
      <c r="L146" s="48"/>
      <c r="M146" s="91"/>
      <c r="N146" s="84"/>
      <c r="O146" s="48"/>
      <c r="P146" s="91"/>
      <c r="Q146" s="84"/>
      <c r="R146" s="48"/>
      <c r="S146" s="91"/>
      <c r="T146" s="50">
        <f>T147</f>
        <v>7356</v>
      </c>
      <c r="U146" s="50">
        <f>U147</f>
        <v>0</v>
      </c>
      <c r="V146" s="50">
        <f>T146+U146</f>
        <v>7356</v>
      </c>
      <c r="W146" s="190">
        <f>W147+30000</f>
        <v>46901</v>
      </c>
      <c r="X146" s="190"/>
      <c r="Y146" s="204">
        <f>W146+X146</f>
        <v>46901</v>
      </c>
      <c r="Z146" s="190">
        <v>47907</v>
      </c>
      <c r="AA146" s="190"/>
      <c r="AB146" s="204">
        <f>Z146+AA146</f>
        <v>47907</v>
      </c>
      <c r="AC146" s="212"/>
      <c r="AD146" s="212"/>
      <c r="AE146" s="224"/>
      <c r="AF146" s="212"/>
      <c r="AG146" s="228"/>
      <c r="AH146" s="96"/>
    </row>
    <row r="147" spans="1:35" ht="24.75" customHeight="1" x14ac:dyDescent="0.3">
      <c r="A147" s="59"/>
      <c r="B147" s="6" t="s">
        <v>35</v>
      </c>
      <c r="C147" s="46"/>
      <c r="D147" s="14"/>
      <c r="E147" s="167"/>
      <c r="F147" s="243"/>
      <c r="G147" s="14"/>
      <c r="H147" s="140"/>
      <c r="I147" s="91"/>
      <c r="J147" s="243"/>
      <c r="K147" s="243"/>
      <c r="L147" s="48"/>
      <c r="M147" s="91"/>
      <c r="N147" s="84"/>
      <c r="O147" s="48"/>
      <c r="P147" s="91"/>
      <c r="Q147" s="48">
        <f>10479-10479</f>
        <v>0</v>
      </c>
      <c r="R147" s="48"/>
      <c r="S147" s="91">
        <f>Q147+R147</f>
        <v>0</v>
      </c>
      <c r="T147" s="50">
        <v>7356</v>
      </c>
      <c r="U147" s="50"/>
      <c r="V147" s="204">
        <f>T147+U147</f>
        <v>7356</v>
      </c>
      <c r="W147" s="190">
        <v>16901</v>
      </c>
      <c r="X147" s="190"/>
      <c r="Y147" s="204">
        <f>W147+X147</f>
        <v>16901</v>
      </c>
      <c r="Z147" s="190"/>
      <c r="AA147" s="190"/>
      <c r="AB147" s="204">
        <f>Z147+AA147</f>
        <v>0</v>
      </c>
      <c r="AC147" s="212"/>
      <c r="AD147" s="212"/>
      <c r="AE147" s="224"/>
      <c r="AF147" s="212"/>
      <c r="AG147" s="228"/>
      <c r="AH147" s="96"/>
    </row>
    <row r="148" spans="1:35" ht="24.75" customHeight="1" x14ac:dyDescent="0.3">
      <c r="A148" s="59"/>
      <c r="B148" s="6" t="s">
        <v>44</v>
      </c>
      <c r="C148" s="46"/>
      <c r="D148" s="14"/>
      <c r="E148" s="167"/>
      <c r="F148" s="243"/>
      <c r="G148" s="14"/>
      <c r="H148" s="140"/>
      <c r="I148" s="91"/>
      <c r="J148" s="243"/>
      <c r="K148" s="243"/>
      <c r="L148" s="48"/>
      <c r="M148" s="91"/>
      <c r="N148" s="84"/>
      <c r="O148" s="48"/>
      <c r="P148" s="91"/>
      <c r="Q148" s="84"/>
      <c r="R148" s="48"/>
      <c r="S148" s="91"/>
      <c r="T148" s="190"/>
      <c r="U148" s="50"/>
      <c r="V148" s="204">
        <f>T148+U148</f>
        <v>0</v>
      </c>
      <c r="W148" s="190">
        <f>30000+270000</f>
        <v>300000</v>
      </c>
      <c r="X148" s="190"/>
      <c r="Y148" s="204">
        <f>W148+X148</f>
        <v>300000</v>
      </c>
      <c r="Z148" s="190">
        <v>479071</v>
      </c>
      <c r="AA148" s="190"/>
      <c r="AB148" s="204">
        <f>Z148+AA148</f>
        <v>479071</v>
      </c>
      <c r="AC148" s="212"/>
      <c r="AD148" s="212"/>
      <c r="AE148" s="224"/>
      <c r="AF148" s="212"/>
      <c r="AG148" s="228"/>
      <c r="AH148" s="96"/>
    </row>
    <row r="149" spans="1:35" ht="123.75" customHeight="1" x14ac:dyDescent="0.3">
      <c r="A149" s="60"/>
      <c r="B149" s="293" t="s">
        <v>127</v>
      </c>
      <c r="C149" s="46"/>
      <c r="D149" s="14">
        <v>2023</v>
      </c>
      <c r="E149" s="167"/>
      <c r="F149" s="297">
        <v>368</v>
      </c>
      <c r="G149" s="14"/>
      <c r="H149" s="140"/>
      <c r="I149" s="91">
        <v>1764282</v>
      </c>
      <c r="J149" s="243"/>
      <c r="K149" s="243"/>
      <c r="L149" s="48"/>
      <c r="M149" s="91"/>
      <c r="N149" s="84"/>
      <c r="O149" s="48"/>
      <c r="P149" s="91"/>
      <c r="Q149" s="84">
        <f t="shared" ref="Q149:Y149" si="168">Q150+Q151</f>
        <v>8443</v>
      </c>
      <c r="R149" s="48">
        <f t="shared" si="168"/>
        <v>0</v>
      </c>
      <c r="S149" s="91">
        <f t="shared" si="168"/>
        <v>8443</v>
      </c>
      <c r="T149" s="50">
        <f t="shared" si="168"/>
        <v>830058</v>
      </c>
      <c r="U149" s="50">
        <f t="shared" si="168"/>
        <v>0</v>
      </c>
      <c r="V149" s="204">
        <f t="shared" si="168"/>
        <v>830058</v>
      </c>
      <c r="W149" s="190">
        <f t="shared" si="168"/>
        <v>925781</v>
      </c>
      <c r="X149" s="190">
        <f t="shared" si="168"/>
        <v>0</v>
      </c>
      <c r="Y149" s="190">
        <f t="shared" si="168"/>
        <v>925781</v>
      </c>
      <c r="Z149" s="190"/>
      <c r="AA149" s="190"/>
      <c r="AB149" s="204"/>
      <c r="AC149" s="212"/>
      <c r="AD149" s="212"/>
      <c r="AE149" s="224"/>
      <c r="AF149" s="212"/>
      <c r="AG149" s="228"/>
      <c r="AH149" s="96"/>
      <c r="AI149" s="40">
        <f>I149-M149-P149-S149-V149-Y149</f>
        <v>0</v>
      </c>
    </row>
    <row r="150" spans="1:35" ht="24.75" customHeight="1" x14ac:dyDescent="0.3">
      <c r="A150" s="59"/>
      <c r="B150" s="26" t="s">
        <v>22</v>
      </c>
      <c r="C150" s="33"/>
      <c r="D150" s="28"/>
      <c r="E150" s="19"/>
      <c r="F150" s="298"/>
      <c r="G150" s="28"/>
      <c r="H150" s="138"/>
      <c r="I150" s="92"/>
      <c r="J150" s="245"/>
      <c r="K150" s="245"/>
      <c r="L150" s="35"/>
      <c r="M150" s="92"/>
      <c r="N150" s="85"/>
      <c r="O150" s="35"/>
      <c r="P150" s="92"/>
      <c r="Q150" s="85"/>
      <c r="R150" s="35"/>
      <c r="S150" s="92"/>
      <c r="T150" s="37">
        <v>720000</v>
      </c>
      <c r="U150" s="37"/>
      <c r="V150" s="203">
        <f>T150+U150</f>
        <v>720000</v>
      </c>
      <c r="W150" s="189">
        <v>833203</v>
      </c>
      <c r="X150" s="189"/>
      <c r="Y150" s="203">
        <f>W150+X150</f>
        <v>833203</v>
      </c>
      <c r="Z150" s="189"/>
      <c r="AA150" s="189"/>
      <c r="AB150" s="203"/>
      <c r="AC150" s="198"/>
      <c r="AD150" s="198"/>
      <c r="AE150" s="216"/>
      <c r="AF150" s="198"/>
      <c r="AG150" s="227"/>
      <c r="AH150" s="235"/>
    </row>
    <row r="151" spans="1:35" ht="24.75" customHeight="1" x14ac:dyDescent="0.3">
      <c r="A151" s="59"/>
      <c r="B151" s="6" t="s">
        <v>23</v>
      </c>
      <c r="C151" s="46"/>
      <c r="D151" s="14"/>
      <c r="E151" s="167"/>
      <c r="F151" s="243"/>
      <c r="G151" s="14"/>
      <c r="H151" s="140"/>
      <c r="I151" s="91"/>
      <c r="J151" s="243"/>
      <c r="K151" s="243"/>
      <c r="L151" s="48"/>
      <c r="M151" s="91"/>
      <c r="N151" s="84"/>
      <c r="O151" s="48"/>
      <c r="P151" s="91"/>
      <c r="Q151" s="48">
        <v>8443</v>
      </c>
      <c r="R151" s="48"/>
      <c r="S151" s="48">
        <f>S152</f>
        <v>8443</v>
      </c>
      <c r="T151" s="50">
        <f>T152+80000</f>
        <v>110058</v>
      </c>
      <c r="U151" s="50"/>
      <c r="V151" s="50">
        <f>T151+U151</f>
        <v>110058</v>
      </c>
      <c r="W151" s="190">
        <v>92578</v>
      </c>
      <c r="X151" s="190"/>
      <c r="Y151" s="204">
        <f>W151+X151</f>
        <v>92578</v>
      </c>
      <c r="Z151" s="190"/>
      <c r="AA151" s="190"/>
      <c r="AB151" s="204"/>
      <c r="AC151" s="212"/>
      <c r="AD151" s="212"/>
      <c r="AE151" s="224"/>
      <c r="AF151" s="212"/>
      <c r="AG151" s="228"/>
      <c r="AH151" s="96"/>
    </row>
    <row r="152" spans="1:35" ht="24.75" customHeight="1" x14ac:dyDescent="0.3">
      <c r="A152" s="59"/>
      <c r="B152" s="6" t="s">
        <v>35</v>
      </c>
      <c r="C152" s="46"/>
      <c r="D152" s="14"/>
      <c r="E152" s="167"/>
      <c r="F152" s="243"/>
      <c r="G152" s="14"/>
      <c r="H152" s="140"/>
      <c r="I152" s="91"/>
      <c r="J152" s="243"/>
      <c r="K152" s="243"/>
      <c r="L152" s="48"/>
      <c r="M152" s="91"/>
      <c r="N152" s="84"/>
      <c r="O152" s="48"/>
      <c r="P152" s="91"/>
      <c r="Q152" s="48">
        <f>35450-27007</f>
        <v>8443</v>
      </c>
      <c r="R152" s="48"/>
      <c r="S152" s="91">
        <f>Q152+R152</f>
        <v>8443</v>
      </c>
      <c r="T152" s="50">
        <v>30058</v>
      </c>
      <c r="U152" s="50"/>
      <c r="V152" s="204">
        <f>T152+U152</f>
        <v>30058</v>
      </c>
      <c r="W152" s="190"/>
      <c r="X152" s="190"/>
      <c r="Y152" s="204"/>
      <c r="Z152" s="190"/>
      <c r="AA152" s="190"/>
      <c r="AB152" s="204"/>
      <c r="AC152" s="212"/>
      <c r="AD152" s="212"/>
      <c r="AE152" s="224"/>
      <c r="AF152" s="212"/>
      <c r="AG152" s="228"/>
      <c r="AH152" s="96"/>
    </row>
    <row r="153" spans="1:35" ht="24.75" customHeight="1" x14ac:dyDescent="0.3">
      <c r="A153" s="59"/>
      <c r="B153" s="6" t="s">
        <v>44</v>
      </c>
      <c r="C153" s="46"/>
      <c r="D153" s="14"/>
      <c r="E153" s="167"/>
      <c r="F153" s="243"/>
      <c r="G153" s="14"/>
      <c r="H153" s="140"/>
      <c r="I153" s="91"/>
      <c r="J153" s="243"/>
      <c r="K153" s="243"/>
      <c r="L153" s="48"/>
      <c r="M153" s="91"/>
      <c r="N153" s="84"/>
      <c r="O153" s="48"/>
      <c r="P153" s="91"/>
      <c r="Q153" s="84"/>
      <c r="R153" s="48"/>
      <c r="S153" s="91"/>
      <c r="T153" s="50">
        <f>80000+720000</f>
        <v>800000</v>
      </c>
      <c r="U153" s="50"/>
      <c r="V153" s="204">
        <f>T153+U153</f>
        <v>800000</v>
      </c>
      <c r="W153" s="190">
        <v>925781</v>
      </c>
      <c r="X153" s="190"/>
      <c r="Y153" s="204">
        <f>W153+X153</f>
        <v>925781</v>
      </c>
      <c r="Z153" s="190"/>
      <c r="AA153" s="190"/>
      <c r="AB153" s="204"/>
      <c r="AC153" s="212"/>
      <c r="AD153" s="212"/>
      <c r="AE153" s="224"/>
      <c r="AF153" s="212"/>
      <c r="AG153" s="228"/>
      <c r="AH153" s="96"/>
    </row>
    <row r="154" spans="1:35" ht="125.25" customHeight="1" x14ac:dyDescent="0.3">
      <c r="A154" s="60"/>
      <c r="B154" s="293" t="s">
        <v>128</v>
      </c>
      <c r="C154" s="46"/>
      <c r="D154" s="14">
        <v>2023</v>
      </c>
      <c r="E154" s="167"/>
      <c r="F154" s="297">
        <v>174.12</v>
      </c>
      <c r="G154" s="14"/>
      <c r="H154" s="140"/>
      <c r="I154" s="91">
        <v>1081439</v>
      </c>
      <c r="J154" s="243"/>
      <c r="K154" s="243"/>
      <c r="L154" s="48"/>
      <c r="M154" s="91"/>
      <c r="N154" s="84"/>
      <c r="O154" s="48"/>
      <c r="P154" s="91"/>
      <c r="Q154" s="48">
        <f t="shared" ref="Q154:Y154" si="169">Q155+Q156</f>
        <v>6944</v>
      </c>
      <c r="R154" s="48">
        <f t="shared" si="169"/>
        <v>0</v>
      </c>
      <c r="S154" s="91">
        <f t="shared" si="169"/>
        <v>6944</v>
      </c>
      <c r="T154" s="50">
        <f t="shared" si="169"/>
        <v>518562</v>
      </c>
      <c r="U154" s="50">
        <f t="shared" si="169"/>
        <v>0</v>
      </c>
      <c r="V154" s="204">
        <f t="shared" si="169"/>
        <v>518562</v>
      </c>
      <c r="W154" s="190">
        <f t="shared" si="169"/>
        <v>555933</v>
      </c>
      <c r="X154" s="190">
        <f t="shared" si="169"/>
        <v>0</v>
      </c>
      <c r="Y154" s="190">
        <f t="shared" si="169"/>
        <v>555933</v>
      </c>
      <c r="Z154" s="190"/>
      <c r="AA154" s="190"/>
      <c r="AB154" s="204"/>
      <c r="AC154" s="212"/>
      <c r="AD154" s="212"/>
      <c r="AE154" s="224"/>
      <c r="AF154" s="212"/>
      <c r="AG154" s="228"/>
      <c r="AH154" s="96"/>
      <c r="AI154" s="40">
        <f>I154-S154-V154-Y154</f>
        <v>0</v>
      </c>
    </row>
    <row r="155" spans="1:35" ht="24.75" customHeight="1" x14ac:dyDescent="0.3">
      <c r="A155" s="59"/>
      <c r="B155" s="26" t="s">
        <v>22</v>
      </c>
      <c r="C155" s="33"/>
      <c r="D155" s="28"/>
      <c r="E155" s="19"/>
      <c r="F155" s="245"/>
      <c r="G155" s="28"/>
      <c r="H155" s="138"/>
      <c r="I155" s="92"/>
      <c r="J155" s="245"/>
      <c r="K155" s="245"/>
      <c r="L155" s="35"/>
      <c r="M155" s="92"/>
      <c r="N155" s="85"/>
      <c r="O155" s="35"/>
      <c r="P155" s="92"/>
      <c r="Q155" s="35"/>
      <c r="R155" s="35"/>
      <c r="S155" s="92">
        <f>Q155+R155</f>
        <v>0</v>
      </c>
      <c r="T155" s="37">
        <v>450000</v>
      </c>
      <c r="U155" s="37"/>
      <c r="V155" s="203">
        <f>T155+U155</f>
        <v>450000</v>
      </c>
      <c r="W155" s="189">
        <v>500340</v>
      </c>
      <c r="X155" s="189"/>
      <c r="Y155" s="203">
        <f>W155+X155</f>
        <v>500340</v>
      </c>
      <c r="Z155" s="189"/>
      <c r="AA155" s="189"/>
      <c r="AB155" s="203"/>
      <c r="AC155" s="198"/>
      <c r="AD155" s="198"/>
      <c r="AE155" s="216"/>
      <c r="AF155" s="198"/>
      <c r="AG155" s="227"/>
      <c r="AH155" s="235"/>
    </row>
    <row r="156" spans="1:35" ht="24.75" customHeight="1" x14ac:dyDescent="0.3">
      <c r="A156" s="59"/>
      <c r="B156" s="6" t="s">
        <v>23</v>
      </c>
      <c r="C156" s="46"/>
      <c r="D156" s="14"/>
      <c r="E156" s="167"/>
      <c r="F156" s="243"/>
      <c r="G156" s="14"/>
      <c r="H156" s="140"/>
      <c r="I156" s="91"/>
      <c r="J156" s="243"/>
      <c r="K156" s="243"/>
      <c r="L156" s="48"/>
      <c r="M156" s="91"/>
      <c r="N156" s="84"/>
      <c r="O156" s="48"/>
      <c r="P156" s="91"/>
      <c r="Q156" s="84">
        <v>6944</v>
      </c>
      <c r="R156" s="84"/>
      <c r="S156" s="84">
        <f t="shared" ref="S156" si="170">S157</f>
        <v>6944</v>
      </c>
      <c r="T156" s="50">
        <f>T157+50000</f>
        <v>68562</v>
      </c>
      <c r="U156" s="50"/>
      <c r="V156" s="50">
        <f>T156+U156</f>
        <v>68562</v>
      </c>
      <c r="W156" s="190">
        <v>55593</v>
      </c>
      <c r="X156" s="190"/>
      <c r="Y156" s="204">
        <f>W156+X156</f>
        <v>55593</v>
      </c>
      <c r="Z156" s="190"/>
      <c r="AA156" s="190"/>
      <c r="AB156" s="204"/>
      <c r="AC156" s="212"/>
      <c r="AD156" s="212"/>
      <c r="AE156" s="224"/>
      <c r="AF156" s="212"/>
      <c r="AG156" s="228"/>
      <c r="AH156" s="96"/>
    </row>
    <row r="157" spans="1:35" ht="24.75" customHeight="1" x14ac:dyDescent="0.3">
      <c r="A157" s="59"/>
      <c r="B157" s="6" t="s">
        <v>35</v>
      </c>
      <c r="C157" s="46"/>
      <c r="D157" s="14"/>
      <c r="E157" s="167"/>
      <c r="F157" s="243"/>
      <c r="G157" s="14"/>
      <c r="H157" s="140"/>
      <c r="I157" s="91"/>
      <c r="J157" s="243"/>
      <c r="K157" s="243"/>
      <c r="L157" s="48"/>
      <c r="M157" s="91"/>
      <c r="N157" s="84"/>
      <c r="O157" s="48"/>
      <c r="P157" s="91"/>
      <c r="Q157" s="48">
        <f>15426-8482</f>
        <v>6944</v>
      </c>
      <c r="R157" s="48"/>
      <c r="S157" s="91">
        <f>Q157+R157</f>
        <v>6944</v>
      </c>
      <c r="T157" s="50">
        <v>18562</v>
      </c>
      <c r="U157" s="50"/>
      <c r="V157" s="204">
        <f>T157+U157</f>
        <v>18562</v>
      </c>
      <c r="W157" s="190"/>
      <c r="X157" s="190"/>
      <c r="Y157" s="204"/>
      <c r="Z157" s="190"/>
      <c r="AA157" s="190"/>
      <c r="AB157" s="204"/>
      <c r="AC157" s="212"/>
      <c r="AD157" s="212"/>
      <c r="AE157" s="224"/>
      <c r="AF157" s="212"/>
      <c r="AG157" s="228"/>
      <c r="AH157" s="96"/>
    </row>
    <row r="158" spans="1:35" ht="24.75" customHeight="1" x14ac:dyDescent="0.3">
      <c r="A158" s="59"/>
      <c r="B158" s="6" t="s">
        <v>44</v>
      </c>
      <c r="C158" s="46"/>
      <c r="D158" s="14"/>
      <c r="E158" s="167"/>
      <c r="F158" s="243"/>
      <c r="G158" s="14"/>
      <c r="H158" s="140"/>
      <c r="I158" s="91"/>
      <c r="J158" s="243"/>
      <c r="K158" s="243"/>
      <c r="L158" s="48"/>
      <c r="M158" s="91"/>
      <c r="N158" s="84"/>
      <c r="O158" s="48"/>
      <c r="P158" s="91"/>
      <c r="Q158" s="84"/>
      <c r="R158" s="48"/>
      <c r="S158" s="91"/>
      <c r="T158" s="50">
        <f>450000+68562</f>
        <v>518562</v>
      </c>
      <c r="U158" s="50"/>
      <c r="V158" s="204">
        <f>U158+T158</f>
        <v>518562</v>
      </c>
      <c r="W158" s="190">
        <f>500340+55593</f>
        <v>555933</v>
      </c>
      <c r="X158" s="190"/>
      <c r="Y158" s="204">
        <f>W158+X158</f>
        <v>555933</v>
      </c>
      <c r="Z158" s="190"/>
      <c r="AA158" s="190"/>
      <c r="AB158" s="204"/>
      <c r="AC158" s="212"/>
      <c r="AD158" s="212"/>
      <c r="AE158" s="224"/>
      <c r="AF158" s="212"/>
      <c r="AG158" s="228"/>
      <c r="AH158" s="96"/>
    </row>
    <row r="159" spans="1:35" ht="120.75" customHeight="1" x14ac:dyDescent="0.3">
      <c r="A159" s="60"/>
      <c r="B159" s="293" t="s">
        <v>129</v>
      </c>
      <c r="C159" s="46"/>
      <c r="D159" s="14">
        <v>2024</v>
      </c>
      <c r="E159" s="167"/>
      <c r="F159" s="297">
        <v>220.65</v>
      </c>
      <c r="G159" s="14"/>
      <c r="H159" s="140"/>
      <c r="I159" s="91">
        <v>1090052</v>
      </c>
      <c r="J159" s="243"/>
      <c r="K159" s="243"/>
      <c r="L159" s="48"/>
      <c r="M159" s="91"/>
      <c r="N159" s="84"/>
      <c r="O159" s="48"/>
      <c r="P159" s="91"/>
      <c r="Q159" s="48">
        <f t="shared" ref="Q159:AB159" si="171">Q160+Q161</f>
        <v>0</v>
      </c>
      <c r="R159" s="48">
        <f t="shared" si="171"/>
        <v>0</v>
      </c>
      <c r="S159" s="91">
        <f t="shared" si="171"/>
        <v>0</v>
      </c>
      <c r="T159" s="50">
        <f t="shared" si="171"/>
        <v>8496</v>
      </c>
      <c r="U159" s="50">
        <f t="shared" si="171"/>
        <v>0</v>
      </c>
      <c r="V159" s="204">
        <f t="shared" si="171"/>
        <v>8496</v>
      </c>
      <c r="W159" s="190">
        <f t="shared" si="171"/>
        <v>521004</v>
      </c>
      <c r="X159" s="190">
        <f t="shared" si="171"/>
        <v>0</v>
      </c>
      <c r="Y159" s="190">
        <f t="shared" si="171"/>
        <v>521004</v>
      </c>
      <c r="Z159" s="190">
        <f t="shared" si="171"/>
        <v>560552</v>
      </c>
      <c r="AA159" s="190">
        <f t="shared" si="171"/>
        <v>0</v>
      </c>
      <c r="AB159" s="190">
        <f t="shared" si="171"/>
        <v>560552</v>
      </c>
      <c r="AC159" s="212"/>
      <c r="AD159" s="212"/>
      <c r="AE159" s="224"/>
      <c r="AF159" s="212"/>
      <c r="AG159" s="228"/>
      <c r="AH159" s="96"/>
      <c r="AI159" s="40">
        <f>I159-S159-V159-Y159-AB159</f>
        <v>0</v>
      </c>
    </row>
    <row r="160" spans="1:35" ht="24.75" customHeight="1" x14ac:dyDescent="0.3">
      <c r="A160" s="59"/>
      <c r="B160" s="26" t="s">
        <v>22</v>
      </c>
      <c r="C160" s="33"/>
      <c r="D160" s="28"/>
      <c r="E160" s="19"/>
      <c r="F160" s="245"/>
      <c r="G160" s="28"/>
      <c r="H160" s="138"/>
      <c r="I160" s="92"/>
      <c r="J160" s="245"/>
      <c r="K160" s="245"/>
      <c r="L160" s="35"/>
      <c r="M160" s="92"/>
      <c r="N160" s="85"/>
      <c r="O160" s="35"/>
      <c r="P160" s="92"/>
      <c r="Q160" s="85"/>
      <c r="R160" s="35">
        <f>R162+R163</f>
        <v>0</v>
      </c>
      <c r="S160" s="92">
        <f>S162+S163</f>
        <v>0</v>
      </c>
      <c r="T160" s="189"/>
      <c r="U160" s="37"/>
      <c r="V160" s="203"/>
      <c r="W160" s="189">
        <v>450000</v>
      </c>
      <c r="X160" s="189"/>
      <c r="Y160" s="203">
        <f>W160+X160</f>
        <v>450000</v>
      </c>
      <c r="Z160" s="189">
        <v>504497</v>
      </c>
      <c r="AA160" s="189"/>
      <c r="AB160" s="203">
        <f>Z160+AA160</f>
        <v>504497</v>
      </c>
      <c r="AC160" s="198"/>
      <c r="AD160" s="198"/>
      <c r="AE160" s="216"/>
      <c r="AF160" s="198"/>
      <c r="AG160" s="227"/>
      <c r="AH160" s="235"/>
    </row>
    <row r="161" spans="1:35" ht="24.75" customHeight="1" x14ac:dyDescent="0.3">
      <c r="A161" s="59"/>
      <c r="B161" s="6" t="s">
        <v>23</v>
      </c>
      <c r="C161" s="46"/>
      <c r="D161" s="14"/>
      <c r="E161" s="167"/>
      <c r="F161" s="243"/>
      <c r="G161" s="14"/>
      <c r="H161" s="140"/>
      <c r="I161" s="91"/>
      <c r="J161" s="243"/>
      <c r="K161" s="243"/>
      <c r="L161" s="48"/>
      <c r="M161" s="91"/>
      <c r="N161" s="84"/>
      <c r="O161" s="48"/>
      <c r="P161" s="91"/>
      <c r="Q161" s="84"/>
      <c r="R161" s="48"/>
      <c r="S161" s="91"/>
      <c r="T161" s="50">
        <f>T162</f>
        <v>8496</v>
      </c>
      <c r="U161" s="50">
        <f>U162</f>
        <v>0</v>
      </c>
      <c r="V161" s="204">
        <f>T161+U161</f>
        <v>8496</v>
      </c>
      <c r="W161" s="190">
        <f>W162+50000</f>
        <v>71004</v>
      </c>
      <c r="X161" s="190"/>
      <c r="Y161" s="204">
        <f>W161+X161</f>
        <v>71004</v>
      </c>
      <c r="Z161" s="190">
        <v>56055</v>
      </c>
      <c r="AA161" s="190"/>
      <c r="AB161" s="204">
        <f>Z161+AA161</f>
        <v>56055</v>
      </c>
      <c r="AC161" s="212"/>
      <c r="AD161" s="212"/>
      <c r="AE161" s="224"/>
      <c r="AF161" s="212"/>
      <c r="AG161" s="228"/>
      <c r="AH161" s="96"/>
    </row>
    <row r="162" spans="1:35" ht="24.75" customHeight="1" x14ac:dyDescent="0.3">
      <c r="A162" s="59"/>
      <c r="B162" s="6" t="s">
        <v>35</v>
      </c>
      <c r="C162" s="46"/>
      <c r="D162" s="14"/>
      <c r="E162" s="167"/>
      <c r="F162" s="243"/>
      <c r="G162" s="14"/>
      <c r="H162" s="140"/>
      <c r="I162" s="91"/>
      <c r="J162" s="243"/>
      <c r="K162" s="243"/>
      <c r="L162" s="48"/>
      <c r="M162" s="91"/>
      <c r="N162" s="84"/>
      <c r="O162" s="48"/>
      <c r="P162" s="91"/>
      <c r="Q162" s="48">
        <f>21945-21945</f>
        <v>0</v>
      </c>
      <c r="R162" s="48"/>
      <c r="S162" s="91">
        <f>Q162+R162</f>
        <v>0</v>
      </c>
      <c r="T162" s="50">
        <v>8496</v>
      </c>
      <c r="U162" s="50"/>
      <c r="V162" s="204">
        <f>T162+U162</f>
        <v>8496</v>
      </c>
      <c r="W162" s="190">
        <v>21004</v>
      </c>
      <c r="X162" s="190"/>
      <c r="Y162" s="204">
        <f>W162+X162</f>
        <v>21004</v>
      </c>
      <c r="Z162" s="190"/>
      <c r="AA162" s="190"/>
      <c r="AB162" s="204"/>
      <c r="AC162" s="212"/>
      <c r="AD162" s="212"/>
      <c r="AE162" s="224"/>
      <c r="AF162" s="212"/>
      <c r="AG162" s="228"/>
      <c r="AH162" s="96"/>
    </row>
    <row r="163" spans="1:35" ht="24.75" customHeight="1" x14ac:dyDescent="0.3">
      <c r="A163" s="59"/>
      <c r="B163" s="6" t="s">
        <v>44</v>
      </c>
      <c r="C163" s="46"/>
      <c r="D163" s="14"/>
      <c r="E163" s="167"/>
      <c r="F163" s="243"/>
      <c r="G163" s="14"/>
      <c r="H163" s="140"/>
      <c r="I163" s="91"/>
      <c r="J163" s="243"/>
      <c r="K163" s="243"/>
      <c r="L163" s="48"/>
      <c r="M163" s="91"/>
      <c r="N163" s="84"/>
      <c r="O163" s="48"/>
      <c r="P163" s="91"/>
      <c r="Q163" s="84"/>
      <c r="R163" s="48"/>
      <c r="S163" s="91"/>
      <c r="T163" s="190"/>
      <c r="U163" s="50"/>
      <c r="V163" s="204">
        <f>T163+U163</f>
        <v>0</v>
      </c>
      <c r="W163" s="190">
        <v>500000</v>
      </c>
      <c r="X163" s="190"/>
      <c r="Y163" s="204">
        <f>W163+X163</f>
        <v>500000</v>
      </c>
      <c r="Z163" s="190">
        <v>560552</v>
      </c>
      <c r="AA163" s="190"/>
      <c r="AB163" s="204">
        <f>Z163+AA163</f>
        <v>560552</v>
      </c>
      <c r="AC163" s="212"/>
      <c r="AD163" s="212"/>
      <c r="AE163" s="224"/>
      <c r="AF163" s="212"/>
      <c r="AG163" s="228"/>
      <c r="AH163" s="96"/>
    </row>
    <row r="164" spans="1:35" ht="110.25" customHeight="1" x14ac:dyDescent="0.3">
      <c r="A164" s="60"/>
      <c r="B164" s="293" t="s">
        <v>130</v>
      </c>
      <c r="C164" s="46"/>
      <c r="D164" s="14">
        <v>2024</v>
      </c>
      <c r="E164" s="167"/>
      <c r="F164" s="297">
        <v>148.19999999999999</v>
      </c>
      <c r="G164" s="14"/>
      <c r="H164" s="140"/>
      <c r="I164" s="91">
        <v>770905</v>
      </c>
      <c r="J164" s="243"/>
      <c r="K164" s="243"/>
      <c r="L164" s="48"/>
      <c r="M164" s="91"/>
      <c r="N164" s="84"/>
      <c r="O164" s="48"/>
      <c r="P164" s="91"/>
      <c r="Q164" s="84">
        <f t="shared" ref="Q164:AB164" si="172">Q165+Q166</f>
        <v>0</v>
      </c>
      <c r="R164" s="48">
        <f t="shared" si="172"/>
        <v>0</v>
      </c>
      <c r="S164" s="91">
        <f t="shared" si="172"/>
        <v>0</v>
      </c>
      <c r="T164" s="50">
        <f t="shared" si="172"/>
        <v>7699</v>
      </c>
      <c r="U164" s="50">
        <f t="shared" si="172"/>
        <v>0</v>
      </c>
      <c r="V164" s="204">
        <f t="shared" si="172"/>
        <v>7699</v>
      </c>
      <c r="W164" s="190">
        <f t="shared" si="172"/>
        <v>318079</v>
      </c>
      <c r="X164" s="190">
        <f t="shared" si="172"/>
        <v>0</v>
      </c>
      <c r="Y164" s="190">
        <f t="shared" si="172"/>
        <v>318079</v>
      </c>
      <c r="Z164" s="190">
        <f t="shared" si="172"/>
        <v>445127</v>
      </c>
      <c r="AA164" s="190">
        <f t="shared" si="172"/>
        <v>0</v>
      </c>
      <c r="AB164" s="190">
        <f t="shared" si="172"/>
        <v>445127</v>
      </c>
      <c r="AC164" s="212"/>
      <c r="AD164" s="212"/>
      <c r="AE164" s="224"/>
      <c r="AF164" s="212"/>
      <c r="AG164" s="228"/>
      <c r="AH164" s="96"/>
      <c r="AI164" s="40">
        <f>I164-S164-V164-Y164-AB164</f>
        <v>0</v>
      </c>
    </row>
    <row r="165" spans="1:35" ht="24.75" customHeight="1" x14ac:dyDescent="0.3">
      <c r="A165" s="59"/>
      <c r="B165" s="26" t="s">
        <v>22</v>
      </c>
      <c r="C165" s="33"/>
      <c r="D165" s="28"/>
      <c r="E165" s="19"/>
      <c r="F165" s="245"/>
      <c r="G165" s="28"/>
      <c r="H165" s="138"/>
      <c r="I165" s="92"/>
      <c r="J165" s="245"/>
      <c r="K165" s="245"/>
      <c r="L165" s="35"/>
      <c r="M165" s="92"/>
      <c r="N165" s="85"/>
      <c r="O165" s="35"/>
      <c r="P165" s="92"/>
      <c r="Q165" s="85">
        <f>Q167</f>
        <v>0</v>
      </c>
      <c r="R165" s="85">
        <f t="shared" ref="R165:S165" si="173">R167</f>
        <v>0</v>
      </c>
      <c r="S165" s="85">
        <f t="shared" si="173"/>
        <v>0</v>
      </c>
      <c r="T165" s="189"/>
      <c r="U165" s="37"/>
      <c r="V165" s="203"/>
      <c r="W165" s="189">
        <v>270000</v>
      </c>
      <c r="X165" s="189"/>
      <c r="Y165" s="203">
        <f>W165+X165</f>
        <v>270000</v>
      </c>
      <c r="Z165" s="189">
        <v>400614</v>
      </c>
      <c r="AA165" s="189"/>
      <c r="AB165" s="203">
        <f>Z165+AA165</f>
        <v>400614</v>
      </c>
      <c r="AC165" s="198"/>
      <c r="AD165" s="198"/>
      <c r="AE165" s="216"/>
      <c r="AF165" s="198"/>
      <c r="AG165" s="227"/>
      <c r="AH165" s="235"/>
    </row>
    <row r="166" spans="1:35" ht="24.75" customHeight="1" x14ac:dyDescent="0.3">
      <c r="A166" s="59"/>
      <c r="B166" s="6" t="s">
        <v>23</v>
      </c>
      <c r="C166" s="46"/>
      <c r="D166" s="14"/>
      <c r="E166" s="167"/>
      <c r="F166" s="243"/>
      <c r="G166" s="14"/>
      <c r="H166" s="140"/>
      <c r="I166" s="91"/>
      <c r="J166" s="243"/>
      <c r="K166" s="243"/>
      <c r="L166" s="48"/>
      <c r="M166" s="91"/>
      <c r="N166" s="84"/>
      <c r="O166" s="48"/>
      <c r="P166" s="91"/>
      <c r="Q166" s="84"/>
      <c r="R166" s="84"/>
      <c r="S166" s="84">
        <f t="shared" ref="S166" si="174">S167</f>
        <v>0</v>
      </c>
      <c r="T166" s="50">
        <f>T167</f>
        <v>7699</v>
      </c>
      <c r="U166" s="50">
        <f>U167</f>
        <v>0</v>
      </c>
      <c r="V166" s="204">
        <f>T166+U166</f>
        <v>7699</v>
      </c>
      <c r="W166" s="190">
        <f>W167+30000</f>
        <v>48079</v>
      </c>
      <c r="X166" s="190"/>
      <c r="Y166" s="204">
        <f>W166+X166</f>
        <v>48079</v>
      </c>
      <c r="Z166" s="190">
        <v>44513</v>
      </c>
      <c r="AA166" s="190"/>
      <c r="AB166" s="204">
        <f>Z166+AA166</f>
        <v>44513</v>
      </c>
      <c r="AC166" s="212"/>
      <c r="AD166" s="212"/>
      <c r="AE166" s="224"/>
      <c r="AF166" s="212"/>
      <c r="AG166" s="228"/>
      <c r="AH166" s="96"/>
    </row>
    <row r="167" spans="1:35" ht="24.75" customHeight="1" x14ac:dyDescent="0.3">
      <c r="A167" s="59"/>
      <c r="B167" s="6" t="s">
        <v>35</v>
      </c>
      <c r="C167" s="46"/>
      <c r="D167" s="14"/>
      <c r="E167" s="167"/>
      <c r="F167" s="243"/>
      <c r="G167" s="14"/>
      <c r="H167" s="140"/>
      <c r="I167" s="91"/>
      <c r="J167" s="243"/>
      <c r="K167" s="243"/>
      <c r="L167" s="48"/>
      <c r="M167" s="91"/>
      <c r="N167" s="84"/>
      <c r="O167" s="48"/>
      <c r="P167" s="91"/>
      <c r="Q167" s="48">
        <f>14500-14500</f>
        <v>0</v>
      </c>
      <c r="R167" s="48"/>
      <c r="S167" s="91">
        <f>Q167+R167</f>
        <v>0</v>
      </c>
      <c r="T167" s="50">
        <v>7699</v>
      </c>
      <c r="U167" s="50"/>
      <c r="V167" s="204">
        <f>T167+U167</f>
        <v>7699</v>
      </c>
      <c r="W167" s="190">
        <v>18079</v>
      </c>
      <c r="X167" s="190"/>
      <c r="Y167" s="204">
        <f>W167+X167</f>
        <v>18079</v>
      </c>
      <c r="Z167" s="190"/>
      <c r="AA167" s="190"/>
      <c r="AB167" s="204"/>
      <c r="AC167" s="212"/>
      <c r="AD167" s="212"/>
      <c r="AE167" s="224"/>
      <c r="AF167" s="212"/>
      <c r="AG167" s="228"/>
      <c r="AH167" s="96"/>
    </row>
    <row r="168" spans="1:35" ht="24.75" customHeight="1" x14ac:dyDescent="0.3">
      <c r="A168" s="59"/>
      <c r="B168" s="6" t="s">
        <v>44</v>
      </c>
      <c r="C168" s="46"/>
      <c r="D168" s="14"/>
      <c r="E168" s="167"/>
      <c r="F168" s="243"/>
      <c r="G168" s="14"/>
      <c r="H168" s="140"/>
      <c r="I168" s="91"/>
      <c r="J168" s="243"/>
      <c r="K168" s="243"/>
      <c r="L168" s="48"/>
      <c r="M168" s="91"/>
      <c r="N168" s="84"/>
      <c r="O168" s="48"/>
      <c r="P168" s="91"/>
      <c r="Q168" s="84"/>
      <c r="R168" s="48"/>
      <c r="S168" s="91"/>
      <c r="T168" s="190"/>
      <c r="U168" s="50"/>
      <c r="V168" s="204">
        <f>T168+U168</f>
        <v>0</v>
      </c>
      <c r="W168" s="190">
        <f>270000+30000</f>
        <v>300000</v>
      </c>
      <c r="X168" s="190"/>
      <c r="Y168" s="204">
        <f>W168+X168</f>
        <v>300000</v>
      </c>
      <c r="Z168" s="190">
        <v>445127</v>
      </c>
      <c r="AB168" s="204">
        <f>Z168+AA168</f>
        <v>445127</v>
      </c>
      <c r="AC168" s="212"/>
      <c r="AD168" s="212"/>
      <c r="AE168" s="224"/>
      <c r="AF168" s="212"/>
      <c r="AG168" s="228"/>
      <c r="AH168" s="96"/>
    </row>
    <row r="169" spans="1:35" ht="28.5" hidden="1" customHeight="1" x14ac:dyDescent="0.3">
      <c r="A169" s="59"/>
      <c r="B169" s="42" t="s">
        <v>83</v>
      </c>
      <c r="C169" s="78"/>
      <c r="D169" s="79"/>
      <c r="E169" s="79"/>
      <c r="F169" s="81"/>
      <c r="G169" s="79"/>
      <c r="H169" s="144"/>
      <c r="I169" s="94"/>
      <c r="J169" s="86"/>
      <c r="K169" s="82"/>
      <c r="L169" s="80"/>
      <c r="M169" s="94">
        <v>0</v>
      </c>
      <c r="N169" s="86"/>
      <c r="O169" s="80"/>
      <c r="P169" s="94">
        <f t="shared" si="141"/>
        <v>0</v>
      </c>
      <c r="Q169" s="309">
        <f>28641.6+450000</f>
        <v>478641.6</v>
      </c>
      <c r="R169" s="160">
        <v>-478641.6</v>
      </c>
      <c r="S169" s="94">
        <f t="shared" si="142"/>
        <v>0</v>
      </c>
      <c r="T169" s="195"/>
      <c r="U169" s="119"/>
      <c r="V169" s="210"/>
      <c r="W169" s="194"/>
      <c r="X169" s="117"/>
      <c r="Y169" s="209">
        <f t="shared" ref="Y169" si="175">W169+X169</f>
        <v>0</v>
      </c>
      <c r="Z169" s="190">
        <v>445127</v>
      </c>
      <c r="AB169" s="209" t="e">
        <f>#REF!+Z169</f>
        <v>#REF!</v>
      </c>
      <c r="AC169" s="214"/>
      <c r="AD169" s="118"/>
      <c r="AE169" s="210">
        <f t="shared" ref="AE169" si="176">AC169+AD169</f>
        <v>0</v>
      </c>
      <c r="AF169" s="214"/>
      <c r="AG169" s="270"/>
      <c r="AH169" s="271">
        <f t="shared" ref="AH169" si="177">AF169+AG169</f>
        <v>0</v>
      </c>
    </row>
    <row r="170" spans="1:35" ht="49.5" customHeight="1" x14ac:dyDescent="0.3">
      <c r="A170" s="59"/>
      <c r="B170" s="22" t="s">
        <v>37</v>
      </c>
      <c r="C170" s="2"/>
      <c r="D170" s="2"/>
      <c r="E170" s="2"/>
      <c r="F170" s="2"/>
      <c r="G170" s="2"/>
      <c r="H170" s="145"/>
      <c r="I170" s="96"/>
      <c r="J170" s="87"/>
      <c r="K170" s="2"/>
      <c r="L170" s="2"/>
      <c r="M170" s="184">
        <v>0</v>
      </c>
      <c r="N170" s="112">
        <v>9430</v>
      </c>
      <c r="O170" s="112"/>
      <c r="P170" s="184">
        <f>N170+O170</f>
        <v>9430</v>
      </c>
      <c r="Q170" s="178">
        <f>31410.3-29-20000-9430-1951.3</f>
        <v>0</v>
      </c>
      <c r="R170" s="112"/>
      <c r="S170" s="184">
        <f>Q170+R170</f>
        <v>0</v>
      </c>
      <c r="T170" s="178">
        <f>30040-2522.3</f>
        <v>27517.7</v>
      </c>
      <c r="U170" s="112"/>
      <c r="V170" s="184">
        <f>T170+U170</f>
        <v>27517.7</v>
      </c>
      <c r="W170" s="178">
        <v>30000</v>
      </c>
      <c r="X170" s="112"/>
      <c r="Y170" s="184">
        <f>W170+X170</f>
        <v>30000</v>
      </c>
      <c r="Z170" s="178">
        <v>30000</v>
      </c>
      <c r="AA170" s="112"/>
      <c r="AB170" s="184">
        <f>Z170+AA170</f>
        <v>30000</v>
      </c>
      <c r="AC170" s="178">
        <v>30000</v>
      </c>
      <c r="AD170" s="112"/>
      <c r="AE170" s="184">
        <f>AC170+AD170</f>
        <v>30000</v>
      </c>
      <c r="AF170" s="178">
        <v>30000</v>
      </c>
      <c r="AG170" s="2"/>
      <c r="AH170" s="184">
        <f>AF170+AG170</f>
        <v>30000</v>
      </c>
    </row>
    <row r="171" spans="1:35" x14ac:dyDescent="0.3">
      <c r="B171" s="21"/>
    </row>
    <row r="172" spans="1:35" ht="18" x14ac:dyDescent="0.35">
      <c r="A172" s="337" t="s">
        <v>28</v>
      </c>
      <c r="B172" s="337"/>
      <c r="C172" s="337"/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337"/>
      <c r="P172" s="337"/>
      <c r="Q172" s="337" t="s">
        <v>134</v>
      </c>
    </row>
  </sheetData>
  <mergeCells count="13">
    <mergeCell ref="J6:L6"/>
    <mergeCell ref="M6:AH6"/>
    <mergeCell ref="J14:J16"/>
    <mergeCell ref="A3:T3"/>
    <mergeCell ref="A4:T4"/>
    <mergeCell ref="A6:A7"/>
    <mergeCell ref="B6:B7"/>
    <mergeCell ref="C6:C7"/>
    <mergeCell ref="D6:D7"/>
    <mergeCell ref="E6:F6"/>
    <mergeCell ref="G6:G7"/>
    <mergeCell ref="H6:H7"/>
    <mergeCell ref="I6:I7"/>
  </mergeCells>
  <pageMargins left="0.21" right="0.19685039370078741" top="0.19685039370078741" bottom="0.19685039370078741" header="0.11811023622047245" footer="0.11811023622047245"/>
  <pageSetup paperSize="8" scale="57" fitToHeight="10" orientation="landscape" r:id="rId1"/>
  <headerFooter>
    <oddFooter>&amp;L&amp;8&amp;Z&amp;F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7"/>
  <sheetViews>
    <sheetView tabSelected="1" zoomScale="85" zoomScaleNormal="85" workbookViewId="0">
      <pane xSplit="2" ySplit="12" topLeftCell="D13" activePane="bottomRight" state="frozen"/>
      <selection pane="topRight" activeCell="C1" sqref="C1"/>
      <selection pane="bottomLeft" activeCell="A13" sqref="A13"/>
      <selection pane="bottomRight" activeCell="N33" sqref="N33"/>
    </sheetView>
  </sheetViews>
  <sheetFormatPr defaultRowHeight="14.4" outlineLevelRow="1" x14ac:dyDescent="0.3"/>
  <cols>
    <col min="1" max="1" width="4.6640625" customWidth="1"/>
    <col min="2" max="2" width="29.88671875" customWidth="1"/>
    <col min="3" max="3" width="16.109375" hidden="1" customWidth="1"/>
    <col min="4" max="4" width="7.44140625" customWidth="1"/>
    <col min="6" max="6" width="9.5546875" customWidth="1"/>
    <col min="7" max="7" width="11.5546875" hidden="1" customWidth="1"/>
    <col min="8" max="8" width="12.5546875" hidden="1" customWidth="1"/>
    <col min="9" max="9" width="13.88671875" customWidth="1"/>
    <col min="10" max="10" width="9.6640625" hidden="1" customWidth="1"/>
    <col min="11" max="11" width="9.44140625" hidden="1" customWidth="1"/>
    <col min="12" max="12" width="15" hidden="1" customWidth="1"/>
    <col min="13" max="13" width="12.6640625" customWidth="1"/>
    <col min="14" max="14" width="13" customWidth="1"/>
    <col min="15" max="15" width="12.44140625" customWidth="1"/>
    <col min="16" max="16" width="11.109375" customWidth="1"/>
    <col min="17" max="17" width="13.33203125" customWidth="1"/>
    <col min="18" max="18" width="14.44140625" customWidth="1"/>
    <col min="19" max="19" width="12.109375" customWidth="1"/>
    <col min="20" max="21" width="12.6640625" customWidth="1"/>
    <col min="22" max="22" width="16.5546875" customWidth="1"/>
    <col min="23" max="23" width="13" customWidth="1"/>
    <col min="24" max="24" width="12.44140625" customWidth="1"/>
    <col min="25" max="25" width="13" customWidth="1"/>
    <col min="26" max="26" width="12.33203125" customWidth="1"/>
    <col min="27" max="28" width="13.109375" customWidth="1"/>
    <col min="29" max="29" width="13.88671875" customWidth="1"/>
    <col min="30" max="30" width="12.5546875" customWidth="1"/>
    <col min="31" max="31" width="13" customWidth="1"/>
    <col min="32" max="32" width="12.6640625" customWidth="1"/>
    <col min="33" max="33" width="12.5546875" customWidth="1"/>
    <col min="34" max="34" width="12.88671875" customWidth="1"/>
    <col min="35" max="35" width="15.109375" customWidth="1"/>
    <col min="36" max="36" width="16.6640625" customWidth="1"/>
  </cols>
  <sheetData>
    <row r="1" spans="1:36" ht="18" x14ac:dyDescent="0.3">
      <c r="M1" s="41"/>
      <c r="N1" s="24"/>
      <c r="O1" s="24"/>
      <c r="P1" s="24"/>
      <c r="Q1" s="25" t="s">
        <v>30</v>
      </c>
      <c r="R1" s="25"/>
      <c r="S1" s="25"/>
    </row>
    <row r="2" spans="1:36" ht="18" x14ac:dyDescent="0.35">
      <c r="N2" s="23"/>
      <c r="O2" s="23"/>
      <c r="P2" s="23"/>
      <c r="Q2" s="1" t="s">
        <v>31</v>
      </c>
      <c r="R2" s="1"/>
      <c r="S2" s="1"/>
      <c r="V2" t="s">
        <v>135</v>
      </c>
    </row>
    <row r="3" spans="1:36" ht="18" x14ac:dyDescent="0.35">
      <c r="A3" s="390" t="s">
        <v>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81"/>
      <c r="V3" s="377"/>
    </row>
    <row r="4" spans="1:36" ht="39.75" customHeight="1" x14ac:dyDescent="0.3">
      <c r="A4" s="391" t="s">
        <v>136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82"/>
      <c r="V4" s="382"/>
    </row>
    <row r="5" spans="1:36" ht="13.5" customHeight="1" x14ac:dyDescent="0.35">
      <c r="A5" s="1"/>
      <c r="N5" s="122" t="s">
        <v>140</v>
      </c>
      <c r="AH5" t="s">
        <v>132</v>
      </c>
    </row>
    <row r="6" spans="1:36" ht="45.75" customHeight="1" x14ac:dyDescent="0.3">
      <c r="A6" s="392" t="s">
        <v>3</v>
      </c>
      <c r="B6" s="386" t="s">
        <v>1</v>
      </c>
      <c r="C6" s="386" t="s">
        <v>2</v>
      </c>
      <c r="D6" s="386" t="s">
        <v>4</v>
      </c>
      <c r="E6" s="386" t="s">
        <v>5</v>
      </c>
      <c r="F6" s="386"/>
      <c r="G6" s="394" t="s">
        <v>29</v>
      </c>
      <c r="H6" s="394" t="s">
        <v>63</v>
      </c>
      <c r="I6" s="396" t="s">
        <v>7</v>
      </c>
      <c r="J6" s="385" t="s">
        <v>8</v>
      </c>
      <c r="K6" s="386"/>
      <c r="L6" s="386"/>
      <c r="M6" s="386" t="s">
        <v>85</v>
      </c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294"/>
      <c r="AJ6" s="294"/>
    </row>
    <row r="7" spans="1:36" ht="90.75" customHeight="1" x14ac:dyDescent="0.3">
      <c r="A7" s="393"/>
      <c r="B7" s="386"/>
      <c r="C7" s="386"/>
      <c r="D7" s="386"/>
      <c r="E7" s="379" t="s">
        <v>6</v>
      </c>
      <c r="F7" s="379" t="s">
        <v>19</v>
      </c>
      <c r="G7" s="395"/>
      <c r="H7" s="395"/>
      <c r="I7" s="396"/>
      <c r="J7" s="378" t="s">
        <v>6</v>
      </c>
      <c r="K7" s="379" t="s">
        <v>9</v>
      </c>
      <c r="L7" s="379" t="s">
        <v>10</v>
      </c>
      <c r="M7" s="171" t="s">
        <v>43</v>
      </c>
      <c r="N7" s="378" t="s">
        <v>11</v>
      </c>
      <c r="O7" s="14" t="s">
        <v>33</v>
      </c>
      <c r="P7" s="171" t="s">
        <v>46</v>
      </c>
      <c r="Q7" s="378" t="s">
        <v>12</v>
      </c>
      <c r="R7" s="14" t="s">
        <v>33</v>
      </c>
      <c r="S7" s="171" t="s">
        <v>53</v>
      </c>
      <c r="T7" s="378" t="s">
        <v>13</v>
      </c>
      <c r="U7" s="14" t="s">
        <v>33</v>
      </c>
      <c r="V7" s="171" t="s">
        <v>73</v>
      </c>
      <c r="W7" s="378" t="s">
        <v>40</v>
      </c>
      <c r="X7" s="14" t="s">
        <v>33</v>
      </c>
      <c r="Y7" s="171" t="s">
        <v>74</v>
      </c>
      <c r="Z7" s="378" t="s">
        <v>41</v>
      </c>
      <c r="AA7" s="14" t="s">
        <v>33</v>
      </c>
      <c r="AB7" s="171" t="s">
        <v>75</v>
      </c>
      <c r="AC7" s="378" t="s">
        <v>42</v>
      </c>
      <c r="AD7" s="14" t="s">
        <v>33</v>
      </c>
      <c r="AE7" s="171" t="s">
        <v>76</v>
      </c>
      <c r="AF7" s="172" t="s">
        <v>45</v>
      </c>
      <c r="AG7" s="14" t="s">
        <v>33</v>
      </c>
      <c r="AH7" s="171" t="s">
        <v>77</v>
      </c>
    </row>
    <row r="8" spans="1:36" ht="30.75" customHeight="1" x14ac:dyDescent="0.3">
      <c r="A8" s="2"/>
      <c r="B8" s="3" t="s">
        <v>34</v>
      </c>
      <c r="C8" s="4"/>
      <c r="D8" s="5"/>
      <c r="E8" s="11">
        <f>SUM(E14:E173)</f>
        <v>326.23700000000002</v>
      </c>
      <c r="F8" s="11">
        <f>SUM(F14:F173)</f>
        <v>2626.57</v>
      </c>
      <c r="G8" s="11">
        <f>SUM(G14:G173)</f>
        <v>20.720400000000001</v>
      </c>
      <c r="H8" s="135"/>
      <c r="I8" s="88">
        <f>SUM(I14:I173)</f>
        <v>54740813.068000004</v>
      </c>
      <c r="J8" s="83" t="e">
        <f>SUM(J14:J173)+#REF!</f>
        <v>#REF!</v>
      </c>
      <c r="K8" s="11" t="e">
        <f>SUM(K14:K173)+#REF!</f>
        <v>#REF!</v>
      </c>
      <c r="L8" s="11" t="e">
        <f>#REF!+L14+#REF!+L19+#REF!+L24+#REF!+#REF!+#REF!+#REF!+#REF!+#REF!+#REF!+#REF!+#REF!+#REF!+#REF!+#REF!+#REF!+#REF!+#REF!+#REF!+#REF!+#REF!+#REF!+#REF!+#REF!+#REF!+#REF!+#REF!+#REF!+#REF!+#REF!+#REF!+L129+L134+#REF!+#REF!+#REF!+L175</f>
        <v>#REF!</v>
      </c>
      <c r="M8" s="179">
        <f>M11+M12</f>
        <v>414849.9</v>
      </c>
      <c r="N8" s="306">
        <f t="shared" ref="N8:AH8" si="0">N11+N12</f>
        <v>316925.69999999995</v>
      </c>
      <c r="O8" s="71">
        <f t="shared" si="0"/>
        <v>0</v>
      </c>
      <c r="P8" s="307">
        <f t="shared" si="0"/>
        <v>316925.69999999995</v>
      </c>
      <c r="Q8" s="308">
        <f t="shared" si="0"/>
        <v>629189.79999999993</v>
      </c>
      <c r="R8" s="71">
        <f t="shared" si="0"/>
        <v>-50902.6</v>
      </c>
      <c r="S8" s="307">
        <f t="shared" si="0"/>
        <v>578452.9</v>
      </c>
      <c r="T8" s="308">
        <f t="shared" si="0"/>
        <v>3226902.2</v>
      </c>
      <c r="U8" s="71">
        <f t="shared" si="0"/>
        <v>0</v>
      </c>
      <c r="V8" s="307">
        <f t="shared" si="0"/>
        <v>3226902.2</v>
      </c>
      <c r="W8" s="308">
        <f t="shared" si="0"/>
        <v>9630159.5</v>
      </c>
      <c r="X8" s="71">
        <f t="shared" si="0"/>
        <v>-17000</v>
      </c>
      <c r="Y8" s="307">
        <f t="shared" si="0"/>
        <v>9613159.5</v>
      </c>
      <c r="Z8" s="308">
        <f t="shared" si="0"/>
        <v>7853627</v>
      </c>
      <c r="AA8" s="71">
        <f t="shared" si="0"/>
        <v>3000</v>
      </c>
      <c r="AB8" s="307">
        <f t="shared" si="0"/>
        <v>7856627</v>
      </c>
      <c r="AC8" s="308">
        <f t="shared" si="0"/>
        <v>11097091.299999999</v>
      </c>
      <c r="AD8" s="71">
        <f t="shared" si="0"/>
        <v>42561.3</v>
      </c>
      <c r="AE8" s="307">
        <f t="shared" si="0"/>
        <v>11139652.6</v>
      </c>
      <c r="AF8" s="308">
        <f t="shared" si="0"/>
        <v>19612046.5</v>
      </c>
      <c r="AG8" s="71">
        <f t="shared" si="0"/>
        <v>17000</v>
      </c>
      <c r="AH8" s="307">
        <f t="shared" si="0"/>
        <v>19629101.5</v>
      </c>
    </row>
    <row r="9" spans="1:36" ht="27.75" hidden="1" customHeight="1" outlineLevel="1" x14ac:dyDescent="0.3">
      <c r="A9" s="2"/>
      <c r="B9" s="39" t="s">
        <v>95</v>
      </c>
      <c r="C9" s="4"/>
      <c r="D9" s="5"/>
      <c r="E9" s="11"/>
      <c r="F9" s="11"/>
      <c r="G9" s="11"/>
      <c r="H9" s="135"/>
      <c r="I9" s="88"/>
      <c r="J9" s="83"/>
      <c r="K9" s="11"/>
      <c r="L9" s="11"/>
      <c r="M9" s="179">
        <f>M10+M11</f>
        <v>0</v>
      </c>
      <c r="N9" s="174">
        <f>N10+N11</f>
        <v>100000</v>
      </c>
      <c r="O9" s="174">
        <f t="shared" ref="O9:P9" si="1">O10+O11</f>
        <v>0</v>
      </c>
      <c r="P9" s="179">
        <f t="shared" si="1"/>
        <v>100000</v>
      </c>
      <c r="Q9" s="174">
        <f>Q10+Q11</f>
        <v>728641.6</v>
      </c>
      <c r="R9" s="174">
        <f t="shared" ref="R9:S9" si="2">R10+R11</f>
        <v>-478641.6</v>
      </c>
      <c r="S9" s="179">
        <f t="shared" si="2"/>
        <v>249999.99999999997</v>
      </c>
      <c r="T9" s="174">
        <f>T10+T11</f>
        <v>2688775.6</v>
      </c>
      <c r="U9" s="174">
        <f t="shared" ref="U9:V9" si="3">U10+U11</f>
        <v>0</v>
      </c>
      <c r="V9" s="179">
        <f t="shared" si="3"/>
        <v>2688775.6</v>
      </c>
      <c r="W9" s="174">
        <f>W10+W11</f>
        <v>9129666.0999999996</v>
      </c>
      <c r="X9" s="174">
        <f t="shared" ref="X9:Y9" si="4">X10+X11</f>
        <v>0</v>
      </c>
      <c r="Y9" s="179">
        <f t="shared" si="4"/>
        <v>9129666.0999999996</v>
      </c>
      <c r="Z9" s="174" t="e">
        <f>Z10+Z11</f>
        <v>#REF!</v>
      </c>
      <c r="AA9" s="174">
        <f t="shared" ref="AA9:AB9" si="5">AA10+AA11</f>
        <v>445127</v>
      </c>
      <c r="AB9" s="179" t="e">
        <f t="shared" si="5"/>
        <v>#REF!</v>
      </c>
      <c r="AC9" s="174">
        <f>AC10+AC11</f>
        <v>11001815.699999999</v>
      </c>
      <c r="AD9" s="174">
        <f t="shared" ref="AD9:AE9" si="6">AD10+AD11</f>
        <v>0</v>
      </c>
      <c r="AE9" s="179">
        <f t="shared" si="6"/>
        <v>11001815.699999999</v>
      </c>
      <c r="AF9" s="174">
        <f>AF10+AF11</f>
        <v>19582046.5</v>
      </c>
      <c r="AG9" s="174">
        <f t="shared" ref="AG9:AH9" si="7">AG10+AG11</f>
        <v>0</v>
      </c>
      <c r="AH9" s="179">
        <f t="shared" si="7"/>
        <v>19582046.5</v>
      </c>
    </row>
    <row r="10" spans="1:36" ht="17.25" hidden="1" customHeight="1" outlineLevel="1" x14ac:dyDescent="0.3">
      <c r="A10" s="2"/>
      <c r="B10" s="39" t="s">
        <v>83</v>
      </c>
      <c r="C10" s="4"/>
      <c r="D10" s="5"/>
      <c r="E10" s="11"/>
      <c r="F10" s="11"/>
      <c r="G10" s="11"/>
      <c r="H10" s="135"/>
      <c r="I10" s="88"/>
      <c r="J10" s="83"/>
      <c r="K10" s="11"/>
      <c r="L10" s="11"/>
      <c r="M10" s="179">
        <f>M174</f>
        <v>0</v>
      </c>
      <c r="N10" s="179">
        <f t="shared" ref="N10:AH10" si="8">N174</f>
        <v>0</v>
      </c>
      <c r="O10" s="179">
        <f t="shared" si="8"/>
        <v>0</v>
      </c>
      <c r="P10" s="179">
        <f t="shared" si="8"/>
        <v>0</v>
      </c>
      <c r="Q10" s="307">
        <f t="shared" si="8"/>
        <v>478641.6</v>
      </c>
      <c r="R10" s="179">
        <f t="shared" si="8"/>
        <v>-478641.6</v>
      </c>
      <c r="S10" s="179">
        <f t="shared" si="8"/>
        <v>0</v>
      </c>
      <c r="T10" s="307">
        <f t="shared" si="8"/>
        <v>0</v>
      </c>
      <c r="U10" s="179">
        <f t="shared" si="8"/>
        <v>0</v>
      </c>
      <c r="V10" s="179">
        <f t="shared" si="8"/>
        <v>0</v>
      </c>
      <c r="W10" s="307">
        <f t="shared" si="8"/>
        <v>0</v>
      </c>
      <c r="X10" s="179">
        <f t="shared" si="8"/>
        <v>0</v>
      </c>
      <c r="Y10" s="179">
        <f t="shared" si="8"/>
        <v>0</v>
      </c>
      <c r="Z10" s="307" t="e">
        <f>#REF!</f>
        <v>#REF!</v>
      </c>
      <c r="AA10" s="179">
        <f>Z174</f>
        <v>445127</v>
      </c>
      <c r="AB10" s="179" t="e">
        <f t="shared" si="8"/>
        <v>#REF!</v>
      </c>
      <c r="AC10" s="307">
        <f t="shared" si="8"/>
        <v>0</v>
      </c>
      <c r="AD10" s="179">
        <f t="shared" si="8"/>
        <v>0</v>
      </c>
      <c r="AE10" s="179">
        <f t="shared" si="8"/>
        <v>0</v>
      </c>
      <c r="AF10" s="307">
        <f t="shared" si="8"/>
        <v>0</v>
      </c>
      <c r="AG10" s="179">
        <f t="shared" si="8"/>
        <v>0</v>
      </c>
      <c r="AH10" s="179">
        <f t="shared" si="8"/>
        <v>0</v>
      </c>
    </row>
    <row r="11" spans="1:36" ht="22.5" customHeight="1" outlineLevel="1" x14ac:dyDescent="0.3">
      <c r="A11" s="2"/>
      <c r="B11" s="3" t="s">
        <v>20</v>
      </c>
      <c r="C11" s="15"/>
      <c r="D11" s="5"/>
      <c r="E11" s="5"/>
      <c r="F11" s="5"/>
      <c r="G11" s="5"/>
      <c r="H11" s="136"/>
      <c r="I11" s="101"/>
      <c r="J11" s="97"/>
      <c r="K11" s="5"/>
      <c r="L11" s="15"/>
      <c r="M11" s="180">
        <f t="shared" ref="M11:AH11" si="9">M15+M20+M25+M30+M35+M40+M45+M55+M60+M65+M70+M75+M80+M85+M90+M110+M115+M120+M130+M135+M140+M50+M145+M150+M155+M160+M165+M170</f>
        <v>0</v>
      </c>
      <c r="N11" s="77">
        <f t="shared" si="9"/>
        <v>100000</v>
      </c>
      <c r="O11" s="77">
        <f t="shared" si="9"/>
        <v>0</v>
      </c>
      <c r="P11" s="180">
        <f t="shared" si="9"/>
        <v>100000</v>
      </c>
      <c r="Q11" s="295">
        <f t="shared" si="9"/>
        <v>249999.99999999997</v>
      </c>
      <c r="R11" s="77">
        <f t="shared" si="9"/>
        <v>0</v>
      </c>
      <c r="S11" s="180">
        <f t="shared" si="9"/>
        <v>249999.99999999997</v>
      </c>
      <c r="T11" s="295">
        <f t="shared" si="9"/>
        <v>2688775.6</v>
      </c>
      <c r="U11" s="77">
        <f t="shared" si="9"/>
        <v>0</v>
      </c>
      <c r="V11" s="180">
        <f t="shared" si="9"/>
        <v>2688775.6</v>
      </c>
      <c r="W11" s="295">
        <f t="shared" si="9"/>
        <v>9129666.0999999996</v>
      </c>
      <c r="X11" s="77">
        <f t="shared" si="9"/>
        <v>0</v>
      </c>
      <c r="Y11" s="180">
        <f t="shared" si="9"/>
        <v>9129666.0999999996</v>
      </c>
      <c r="Z11" s="295">
        <f t="shared" si="9"/>
        <v>7493977.9000000004</v>
      </c>
      <c r="AA11" s="77">
        <f t="shared" si="9"/>
        <v>0</v>
      </c>
      <c r="AB11" s="180">
        <f t="shared" si="9"/>
        <v>7493977.9000000004</v>
      </c>
      <c r="AC11" s="295">
        <f t="shared" si="9"/>
        <v>11001815.699999999</v>
      </c>
      <c r="AD11" s="77">
        <f t="shared" si="9"/>
        <v>0</v>
      </c>
      <c r="AE11" s="180">
        <f t="shared" si="9"/>
        <v>11001815.699999999</v>
      </c>
      <c r="AF11" s="295">
        <f t="shared" si="9"/>
        <v>19582046.5</v>
      </c>
      <c r="AG11" s="77">
        <f t="shared" si="9"/>
        <v>0</v>
      </c>
      <c r="AH11" s="180">
        <f t="shared" si="9"/>
        <v>19582046.5</v>
      </c>
    </row>
    <row r="12" spans="1:36" ht="19.5" customHeight="1" outlineLevel="1" x14ac:dyDescent="0.3">
      <c r="A12" s="2"/>
      <c r="B12" s="3" t="s">
        <v>21</v>
      </c>
      <c r="C12" s="15"/>
      <c r="D12" s="5"/>
      <c r="E12" s="5"/>
      <c r="F12" s="5"/>
      <c r="G12" s="5"/>
      <c r="H12" s="136"/>
      <c r="I12" s="101"/>
      <c r="J12" s="97"/>
      <c r="K12" s="5"/>
      <c r="L12" s="15"/>
      <c r="M12" s="180">
        <f>M16+M21+M24+M31+M36+M41+M46+M56+M61+M76+M81+M86+M91+M95+M97+M100+M103+M106+67767.4+M51+M111+M116+M121+M131+M136+M141+M146+M151+M156+M161+M166+M171</f>
        <v>414849.9</v>
      </c>
      <c r="N12" s="289">
        <f>N16+N21+N26+N31+N36+N41+N46+N51+N56+N61+N66+N71+N76+N81+N86+N91+N94+N97+N100+N103+N106+N111+N116+N121+N131+N136+N141+N146+N151+N156+N161+N166+N171+N175</f>
        <v>216925.69999999998</v>
      </c>
      <c r="O12" s="289">
        <f>O16+O21+O26+O31+O36+O41+O46+O51+O56+O61+O66+O71+O76+O81+O86+O91+O94+O97+O100+O103+O106+O111+O116+O121+O131+O136+O141+O146+O151+O156+O161+O166+O171+O175</f>
        <v>0</v>
      </c>
      <c r="P12" s="180">
        <f>P16+P21+P26+P31+P36+P41+P46+P51+P56+P61+P66+P71+P76+P81+P86+P91+P94+P97+P100+P103+P106+P111+P116+P121+P131+P136+P141+P146+P151+P156+P161+P166+P171+P175</f>
        <v>216925.69999999998</v>
      </c>
      <c r="Q12" s="295">
        <f>Q16+Q21+Q26+Q31+Q36+Q41+Q46+Q51+Q56+Q61+Q66+Q71+Q76+Q81+Q86+Q91+Q94+Q97+Q100+Q103+Q106+Q111+Q116+Q121+Q131+Q136+Q141+Q146+Q151+Q156+Q161+Q166+Q171+Q175+Q126</f>
        <v>379189.8</v>
      </c>
      <c r="R12" s="295">
        <f t="shared" ref="R12:S12" si="10">R16+R21+R26+R31+R36+R41+R46+R51+R56+R61+R66+R71+R76+R81+R86+R91+R94+R97+R100+R103+R106+R111+R116+R121+R131+R136+R141+R146+R151+R156+R161+R166+R171+R175+R126</f>
        <v>-50902.6</v>
      </c>
      <c r="S12" s="295">
        <f t="shared" si="10"/>
        <v>328452.90000000002</v>
      </c>
      <c r="T12" s="295">
        <f t="shared" ref="T12:AH12" si="11">T16+T21+T26+T31+T36+T41+T46+T51+T56+T61+T66+T71+T76+T81+T86+T91+T94+T97+T100+T103+T106+T111+T116+T121+T131+T136+T141+T146+T151+T156+T161+T166+T171+T175</f>
        <v>538126.6</v>
      </c>
      <c r="U12" s="289">
        <f t="shared" si="11"/>
        <v>0</v>
      </c>
      <c r="V12" s="180">
        <f t="shared" si="11"/>
        <v>538126.6</v>
      </c>
      <c r="W12" s="295">
        <f t="shared" si="11"/>
        <v>500493.4</v>
      </c>
      <c r="X12" s="289">
        <f t="shared" si="11"/>
        <v>-17000</v>
      </c>
      <c r="Y12" s="180">
        <f t="shared" si="11"/>
        <v>483493.4</v>
      </c>
      <c r="Z12" s="295">
        <f t="shared" si="11"/>
        <v>359649.10000000003</v>
      </c>
      <c r="AA12" s="289">
        <f t="shared" si="11"/>
        <v>3000</v>
      </c>
      <c r="AB12" s="180">
        <f t="shared" si="11"/>
        <v>362649.10000000003</v>
      </c>
      <c r="AC12" s="295">
        <f t="shared" si="11"/>
        <v>95275.6</v>
      </c>
      <c r="AD12" s="289">
        <f t="shared" si="11"/>
        <v>42561.3</v>
      </c>
      <c r="AE12" s="180">
        <f t="shared" si="11"/>
        <v>137836.90000000002</v>
      </c>
      <c r="AF12" s="295">
        <f t="shared" si="11"/>
        <v>30000</v>
      </c>
      <c r="AG12" s="289">
        <f t="shared" si="11"/>
        <v>17000</v>
      </c>
      <c r="AH12" s="180">
        <f t="shared" si="11"/>
        <v>47055</v>
      </c>
    </row>
    <row r="13" spans="1:36" ht="15" customHeight="1" outlineLevel="1" x14ac:dyDescent="0.3">
      <c r="A13" s="2"/>
      <c r="B13" s="6" t="s">
        <v>14</v>
      </c>
      <c r="C13" s="4"/>
      <c r="D13" s="5"/>
      <c r="E13" s="5"/>
      <c r="F13" s="5"/>
      <c r="G13" s="5"/>
      <c r="H13" s="136"/>
      <c r="I13" s="101"/>
      <c r="J13" s="97"/>
      <c r="K13" s="5"/>
      <c r="L13" s="4"/>
      <c r="M13" s="88"/>
      <c r="N13" s="83"/>
      <c r="O13" s="11"/>
      <c r="P13" s="88"/>
      <c r="Q13" s="83"/>
      <c r="R13" s="11"/>
      <c r="S13" s="88"/>
      <c r="T13" s="83"/>
      <c r="U13" s="11"/>
      <c r="V13" s="88"/>
      <c r="W13" s="87"/>
      <c r="X13" s="2"/>
      <c r="Y13" s="96"/>
      <c r="Z13" s="87"/>
      <c r="AA13" s="2"/>
      <c r="AB13" s="96"/>
      <c r="AC13" s="87"/>
      <c r="AD13" s="2"/>
      <c r="AE13" s="96"/>
      <c r="AF13" s="87"/>
      <c r="AG13" s="2"/>
      <c r="AH13" s="96"/>
    </row>
    <row r="14" spans="1:36" ht="92.25" customHeight="1" x14ac:dyDescent="0.3">
      <c r="A14" s="379">
        <v>2</v>
      </c>
      <c r="B14" s="357" t="s">
        <v>142</v>
      </c>
      <c r="C14" s="147"/>
      <c r="D14" s="51" t="s">
        <v>51</v>
      </c>
      <c r="E14" s="55">
        <v>26.63</v>
      </c>
      <c r="F14" s="51"/>
      <c r="G14" s="149"/>
      <c r="H14" s="146">
        <v>234324.59074000001</v>
      </c>
      <c r="I14" s="120">
        <v>1312156.2</v>
      </c>
      <c r="J14" s="387">
        <v>26.63</v>
      </c>
      <c r="K14" s="7"/>
      <c r="L14" s="32" t="e">
        <f>#REF!+#REF!+#REF!+#REF!</f>
        <v>#REF!</v>
      </c>
      <c r="M14" s="91">
        <f>M15+M16</f>
        <v>339917.6</v>
      </c>
      <c r="N14" s="84">
        <f t="shared" ref="N14:T14" si="12">N15+N16</f>
        <v>300207.3</v>
      </c>
      <c r="O14" s="48">
        <f t="shared" si="12"/>
        <v>0</v>
      </c>
      <c r="P14" s="91">
        <f t="shared" si="12"/>
        <v>300207.3</v>
      </c>
      <c r="Q14" s="84">
        <f t="shared" si="12"/>
        <v>437706.5</v>
      </c>
      <c r="R14" s="48">
        <f t="shared" si="12"/>
        <v>0</v>
      </c>
      <c r="S14" s="91">
        <f t="shared" si="12"/>
        <v>437706.5</v>
      </c>
      <c r="T14" s="84">
        <f t="shared" si="12"/>
        <v>0</v>
      </c>
      <c r="U14" s="48"/>
      <c r="V14" s="91">
        <f>T14+U14</f>
        <v>0</v>
      </c>
      <c r="W14" s="197"/>
      <c r="X14" s="111"/>
      <c r="Y14" s="215"/>
      <c r="Z14" s="178"/>
      <c r="AA14" s="112"/>
      <c r="AB14" s="184"/>
      <c r="AC14" s="178"/>
      <c r="AD14" s="112"/>
      <c r="AE14" s="184"/>
      <c r="AF14" s="197"/>
      <c r="AG14" s="76"/>
      <c r="AH14" s="233"/>
      <c r="AI14" s="38"/>
    </row>
    <row r="15" spans="1:36" s="58" customFormat="1" ht="30.75" customHeight="1" x14ac:dyDescent="0.3">
      <c r="A15" s="54" t="s">
        <v>26</v>
      </c>
      <c r="B15" s="26" t="s">
        <v>72</v>
      </c>
      <c r="C15" s="56"/>
      <c r="D15" s="26"/>
      <c r="E15" s="20"/>
      <c r="F15" s="26"/>
      <c r="G15" s="28"/>
      <c r="H15" s="138"/>
      <c r="I15" s="102"/>
      <c r="J15" s="388"/>
      <c r="K15" s="14"/>
      <c r="L15" s="14"/>
      <c r="M15" s="92">
        <v>0</v>
      </c>
      <c r="N15" s="175">
        <v>100000</v>
      </c>
      <c r="O15" s="36"/>
      <c r="P15" s="181">
        <f>N15+O15</f>
        <v>100000</v>
      </c>
      <c r="Q15" s="175">
        <f>421358.4-179969.6</f>
        <v>241388.80000000002</v>
      </c>
      <c r="R15" s="36"/>
      <c r="S15" s="181">
        <f>Q15+R15</f>
        <v>241388.80000000002</v>
      </c>
      <c r="T15" s="175"/>
      <c r="U15" s="36"/>
      <c r="V15" s="181"/>
      <c r="W15" s="198"/>
      <c r="X15" s="113"/>
      <c r="Y15" s="216"/>
      <c r="Z15" s="198"/>
      <c r="AA15" s="113"/>
      <c r="AB15" s="216"/>
      <c r="AC15" s="198"/>
      <c r="AD15" s="113"/>
      <c r="AE15" s="216"/>
      <c r="AF15" s="198"/>
      <c r="AG15" s="232"/>
      <c r="AH15" s="235"/>
    </row>
    <row r="16" spans="1:36" ht="24" customHeight="1" x14ac:dyDescent="0.3">
      <c r="A16" s="16" t="s">
        <v>27</v>
      </c>
      <c r="B16" s="6" t="s">
        <v>23</v>
      </c>
      <c r="C16" s="52"/>
      <c r="D16" s="53"/>
      <c r="E16" s="10"/>
      <c r="F16" s="53"/>
      <c r="G16" s="7"/>
      <c r="H16" s="137"/>
      <c r="I16" s="103"/>
      <c r="J16" s="389"/>
      <c r="K16" s="7"/>
      <c r="L16" s="7"/>
      <c r="M16" s="93">
        <f>M17+M18</f>
        <v>339917.6</v>
      </c>
      <c r="N16" s="174">
        <f>200500-292.7</f>
        <v>200207.3</v>
      </c>
      <c r="O16" s="71">
        <f t="shared" ref="O16" si="13">O17+O18</f>
        <v>0</v>
      </c>
      <c r="P16" s="179">
        <f t="shared" ref="P16:P18" si="14">N16+O16</f>
        <v>200207.3</v>
      </c>
      <c r="Q16" s="174">
        <f>Q17+Q18</f>
        <v>196317.69999999998</v>
      </c>
      <c r="R16" s="71">
        <f>R17+R18</f>
        <v>0</v>
      </c>
      <c r="S16" s="206">
        <f t="shared" ref="S16" si="15">S17+S18</f>
        <v>196317.69999999998</v>
      </c>
      <c r="T16" s="174"/>
      <c r="U16" s="71"/>
      <c r="V16" s="179"/>
      <c r="W16" s="178"/>
      <c r="X16" s="112"/>
      <c r="Y16" s="184"/>
      <c r="Z16" s="178"/>
      <c r="AA16" s="112"/>
      <c r="AB16" s="184"/>
      <c r="AC16" s="178"/>
      <c r="AD16" s="112"/>
      <c r="AE16" s="184"/>
      <c r="AF16" s="178"/>
      <c r="AG16" s="2"/>
      <c r="AH16" s="96"/>
    </row>
    <row r="17" spans="1:37" ht="21" customHeight="1" x14ac:dyDescent="0.3">
      <c r="A17" s="16"/>
      <c r="B17" s="6" t="s">
        <v>35</v>
      </c>
      <c r="C17" s="148"/>
      <c r="D17" s="150"/>
      <c r="E17" s="152"/>
      <c r="F17" s="150"/>
      <c r="G17" s="150"/>
      <c r="H17" s="139"/>
      <c r="I17" s="104"/>
      <c r="J17" s="380"/>
      <c r="K17" s="7"/>
      <c r="L17" s="7"/>
      <c r="M17" s="93">
        <v>167.6</v>
      </c>
      <c r="N17" s="174">
        <f>200+300-292.7</f>
        <v>207.3</v>
      </c>
      <c r="O17" s="71"/>
      <c r="P17" s="179">
        <f t="shared" si="14"/>
        <v>207.3</v>
      </c>
      <c r="Q17" s="174">
        <f>100+292.7</f>
        <v>392.7</v>
      </c>
      <c r="R17" s="71"/>
      <c r="S17" s="179">
        <f>Q17+R17</f>
        <v>392.7</v>
      </c>
      <c r="T17" s="174"/>
      <c r="U17" s="71"/>
      <c r="V17" s="179"/>
      <c r="W17" s="178"/>
      <c r="X17" s="112"/>
      <c r="Y17" s="184"/>
      <c r="Z17" s="178"/>
      <c r="AA17" s="112"/>
      <c r="AB17" s="184"/>
      <c r="AC17" s="178"/>
      <c r="AD17" s="112"/>
      <c r="AE17" s="184"/>
      <c r="AF17" s="178"/>
      <c r="AG17" s="2"/>
      <c r="AH17" s="96"/>
    </row>
    <row r="18" spans="1:37" ht="21" customHeight="1" x14ac:dyDescent="0.3">
      <c r="A18" s="16"/>
      <c r="B18" s="6" t="s">
        <v>36</v>
      </c>
      <c r="C18" s="148"/>
      <c r="D18" s="150"/>
      <c r="E18" s="152"/>
      <c r="F18" s="150"/>
      <c r="G18" s="150"/>
      <c r="H18" s="139"/>
      <c r="I18" s="104"/>
      <c r="J18" s="380"/>
      <c r="K18" s="7"/>
      <c r="L18" s="7"/>
      <c r="M18" s="93">
        <v>339750</v>
      </c>
      <c r="N18" s="174">
        <v>300000</v>
      </c>
      <c r="O18" s="71"/>
      <c r="P18" s="179">
        <f t="shared" si="14"/>
        <v>300000</v>
      </c>
      <c r="Q18" s="174">
        <f>455875.3-18061.5-300-421558.4+179969.6</f>
        <v>195924.99999999997</v>
      </c>
      <c r="R18" s="49"/>
      <c r="S18" s="179">
        <f>Q18+R18</f>
        <v>195924.99999999997</v>
      </c>
      <c r="T18" s="174"/>
      <c r="U18" s="71"/>
      <c r="V18" s="179"/>
      <c r="W18" s="178"/>
      <c r="X18" s="112"/>
      <c r="Y18" s="184"/>
      <c r="Z18" s="178"/>
      <c r="AA18" s="112"/>
      <c r="AB18" s="184"/>
      <c r="AC18" s="178"/>
      <c r="AD18" s="112"/>
      <c r="AE18" s="184"/>
      <c r="AF18" s="178"/>
      <c r="AG18" s="2"/>
      <c r="AH18" s="96"/>
    </row>
    <row r="19" spans="1:37" ht="95.25" customHeight="1" x14ac:dyDescent="0.3">
      <c r="A19" s="379">
        <v>4</v>
      </c>
      <c r="B19" s="357" t="s">
        <v>78</v>
      </c>
      <c r="C19" s="239" t="s">
        <v>15</v>
      </c>
      <c r="D19" s="240" t="s">
        <v>66</v>
      </c>
      <c r="E19" s="240">
        <v>14.1</v>
      </c>
      <c r="F19" s="240"/>
      <c r="G19" s="239"/>
      <c r="H19" s="241"/>
      <c r="I19" s="251">
        <f>869198.1+13580</f>
        <v>882778.1</v>
      </c>
      <c r="J19" s="166">
        <v>13.83</v>
      </c>
      <c r="K19" s="14"/>
      <c r="L19" s="167" t="e">
        <f>#REF!+#REF!+#REF!</f>
        <v>#REF!</v>
      </c>
      <c r="M19" s="91">
        <f t="shared" ref="M19" si="16">M20+M21</f>
        <v>0</v>
      </c>
      <c r="N19" s="84">
        <f>N20+N21</f>
        <v>0</v>
      </c>
      <c r="O19" s="48">
        <f>O20+O21</f>
        <v>0</v>
      </c>
      <c r="P19" s="91">
        <f t="shared" ref="P19:AH19" si="17">P20+P21</f>
        <v>0</v>
      </c>
      <c r="Q19" s="84">
        <f t="shared" si="17"/>
        <v>0</v>
      </c>
      <c r="R19" s="48">
        <f t="shared" si="17"/>
        <v>0</v>
      </c>
      <c r="S19" s="91">
        <f t="shared" si="17"/>
        <v>0</v>
      </c>
      <c r="T19" s="84">
        <f t="shared" si="17"/>
        <v>0</v>
      </c>
      <c r="U19" s="48"/>
      <c r="V19" s="91"/>
      <c r="W19" s="84">
        <f t="shared" si="17"/>
        <v>4930.5</v>
      </c>
      <c r="X19" s="84">
        <f t="shared" si="17"/>
        <v>0</v>
      </c>
      <c r="Y19" s="91">
        <f t="shared" si="17"/>
        <v>4930.5</v>
      </c>
      <c r="Z19" s="84">
        <f t="shared" si="17"/>
        <v>12603.1</v>
      </c>
      <c r="AA19" s="84">
        <f t="shared" si="17"/>
        <v>0</v>
      </c>
      <c r="AB19" s="91">
        <f t="shared" si="17"/>
        <v>12603.1</v>
      </c>
      <c r="AC19" s="84">
        <f t="shared" si="17"/>
        <v>430000</v>
      </c>
      <c r="AD19" s="84">
        <f t="shared" si="17"/>
        <v>0</v>
      </c>
      <c r="AE19" s="91">
        <f t="shared" si="17"/>
        <v>430000</v>
      </c>
      <c r="AF19" s="84">
        <f t="shared" si="17"/>
        <v>435244.5</v>
      </c>
      <c r="AG19" s="84">
        <f t="shared" si="17"/>
        <v>0</v>
      </c>
      <c r="AH19" s="91">
        <f t="shared" si="17"/>
        <v>435244.5</v>
      </c>
      <c r="AI19" s="238">
        <f>I19-Y19-AB19-AE19-AH19</f>
        <v>0</v>
      </c>
    </row>
    <row r="20" spans="1:37" s="58" customFormat="1" ht="21.75" customHeight="1" x14ac:dyDescent="0.3">
      <c r="A20" s="54" t="s">
        <v>24</v>
      </c>
      <c r="B20" s="26" t="s">
        <v>22</v>
      </c>
      <c r="C20" s="56"/>
      <c r="D20" s="26"/>
      <c r="E20" s="26"/>
      <c r="F20" s="26"/>
      <c r="G20" s="28"/>
      <c r="H20" s="138"/>
      <c r="I20" s="106"/>
      <c r="J20" s="98"/>
      <c r="K20" s="28"/>
      <c r="L20" s="28"/>
      <c r="M20" s="92">
        <v>0</v>
      </c>
      <c r="N20" s="85"/>
      <c r="O20" s="35"/>
      <c r="P20" s="92">
        <f>N20+O20</f>
        <v>0</v>
      </c>
      <c r="Q20" s="85"/>
      <c r="R20" s="35"/>
      <c r="S20" s="92">
        <f>Q20+R20</f>
        <v>0</v>
      </c>
      <c r="T20" s="85"/>
      <c r="U20" s="35"/>
      <c r="V20" s="92"/>
      <c r="W20" s="199"/>
      <c r="X20" s="114"/>
      <c r="Y20" s="217"/>
      <c r="Z20" s="189">
        <f>Z23</f>
        <v>0</v>
      </c>
      <c r="AA20" s="189">
        <f t="shared" ref="AA20:AB20" si="18">AA23</f>
        <v>0</v>
      </c>
      <c r="AB20" s="203">
        <f t="shared" si="18"/>
        <v>0</v>
      </c>
      <c r="AC20" s="189">
        <f>AC23</f>
        <v>430000</v>
      </c>
      <c r="AD20" s="189">
        <f t="shared" ref="AD20:AE20" si="19">AD23</f>
        <v>0</v>
      </c>
      <c r="AE20" s="203">
        <f t="shared" si="19"/>
        <v>430000</v>
      </c>
      <c r="AF20" s="189">
        <f>AF23</f>
        <v>435244.5</v>
      </c>
      <c r="AG20" s="189">
        <f t="shared" ref="AG20:AH20" si="20">AG23</f>
        <v>0</v>
      </c>
      <c r="AH20" s="203">
        <f t="shared" si="20"/>
        <v>435244.5</v>
      </c>
    </row>
    <row r="21" spans="1:37" ht="22.5" customHeight="1" x14ac:dyDescent="0.3">
      <c r="A21" s="16" t="s">
        <v>25</v>
      </c>
      <c r="B21" s="6" t="s">
        <v>23</v>
      </c>
      <c r="C21" s="52"/>
      <c r="D21" s="53"/>
      <c r="E21" s="53"/>
      <c r="F21" s="53"/>
      <c r="G21" s="7"/>
      <c r="H21" s="137"/>
      <c r="I21" s="107"/>
      <c r="J21" s="99"/>
      <c r="K21" s="7"/>
      <c r="L21" s="7"/>
      <c r="M21" s="93">
        <v>0</v>
      </c>
      <c r="N21" s="174">
        <f>N22+N23</f>
        <v>0</v>
      </c>
      <c r="O21" s="71">
        <f>O22+O23</f>
        <v>0</v>
      </c>
      <c r="P21" s="179">
        <f>N21+O21</f>
        <v>0</v>
      </c>
      <c r="Q21" s="174"/>
      <c r="R21" s="71"/>
      <c r="S21" s="179">
        <f>Q21+R21</f>
        <v>0</v>
      </c>
      <c r="T21" s="174"/>
      <c r="U21" s="71"/>
      <c r="V21" s="179"/>
      <c r="W21" s="178">
        <f>W22</f>
        <v>4930.5</v>
      </c>
      <c r="X21" s="178">
        <f t="shared" ref="X21:Y21" si="21">X22</f>
        <v>0</v>
      </c>
      <c r="Y21" s="184">
        <f t="shared" si="21"/>
        <v>4930.5</v>
      </c>
      <c r="Z21" s="178">
        <f>Z22</f>
        <v>12603.1</v>
      </c>
      <c r="AA21" s="178">
        <f t="shared" ref="AA21:AB21" si="22">AA22</f>
        <v>0</v>
      </c>
      <c r="AB21" s="184">
        <f t="shared" si="22"/>
        <v>12603.1</v>
      </c>
      <c r="AC21" s="178"/>
      <c r="AD21" s="112"/>
      <c r="AE21" s="184"/>
      <c r="AF21" s="178"/>
      <c r="AG21" s="2"/>
      <c r="AH21" s="96"/>
    </row>
    <row r="22" spans="1:37" ht="17.25" customHeight="1" x14ac:dyDescent="0.3">
      <c r="A22" s="16"/>
      <c r="B22" s="6" t="s">
        <v>35</v>
      </c>
      <c r="C22" s="8"/>
      <c r="D22" s="7"/>
      <c r="E22" s="7"/>
      <c r="F22" s="7"/>
      <c r="G22" s="7"/>
      <c r="H22" s="137"/>
      <c r="I22" s="108"/>
      <c r="J22" s="12"/>
      <c r="K22" s="7"/>
      <c r="L22" s="7"/>
      <c r="M22" s="93">
        <v>0</v>
      </c>
      <c r="N22" s="174">
        <f>730-730</f>
        <v>0</v>
      </c>
      <c r="O22" s="71"/>
      <c r="P22" s="179">
        <f t="shared" ref="P22:P23" si="23">N22+O22</f>
        <v>0</v>
      </c>
      <c r="Q22" s="174"/>
      <c r="R22" s="71"/>
      <c r="S22" s="179">
        <f t="shared" ref="S22:S23" si="24">Q22+R22</f>
        <v>0</v>
      </c>
      <c r="T22" s="174"/>
      <c r="U22" s="71"/>
      <c r="V22" s="179"/>
      <c r="W22" s="178">
        <f>15000-10069.5</f>
        <v>4930.5</v>
      </c>
      <c r="X22" s="112"/>
      <c r="Y22" s="184">
        <f>W22+X22</f>
        <v>4930.5</v>
      </c>
      <c r="Z22" s="112">
        <v>12603.1</v>
      </c>
      <c r="AA22" s="112"/>
      <c r="AB22" s="184">
        <f>Z22+AA22</f>
        <v>12603.1</v>
      </c>
      <c r="AC22" s="178"/>
      <c r="AD22" s="112"/>
      <c r="AE22" s="184"/>
      <c r="AF22" s="178"/>
      <c r="AG22" s="2"/>
      <c r="AH22" s="96"/>
    </row>
    <row r="23" spans="1:37" ht="17.25" customHeight="1" x14ac:dyDescent="0.3">
      <c r="A23" s="16"/>
      <c r="B23" s="6" t="s">
        <v>36</v>
      </c>
      <c r="C23" s="8"/>
      <c r="D23" s="7"/>
      <c r="E23" s="7"/>
      <c r="F23" s="7"/>
      <c r="G23" s="7"/>
      <c r="H23" s="137"/>
      <c r="I23" s="108"/>
      <c r="J23" s="12"/>
      <c r="K23" s="7"/>
      <c r="L23" s="7"/>
      <c r="M23" s="93">
        <v>0</v>
      </c>
      <c r="N23" s="95"/>
      <c r="O23" s="69"/>
      <c r="P23" s="179">
        <f t="shared" si="23"/>
        <v>0</v>
      </c>
      <c r="Q23" s="84"/>
      <c r="R23" s="48"/>
      <c r="S23" s="179">
        <f t="shared" si="24"/>
        <v>0</v>
      </c>
      <c r="T23" s="84"/>
      <c r="U23" s="48"/>
      <c r="V23" s="91"/>
      <c r="W23" s="200"/>
      <c r="X23" s="115"/>
      <c r="Y23" s="218"/>
      <c r="Z23" s="211">
        <f>71136.5+178500-249636.5</f>
        <v>0</v>
      </c>
      <c r="AA23" s="134"/>
      <c r="AB23" s="223">
        <f>Z23+AA23</f>
        <v>0</v>
      </c>
      <c r="AC23" s="178">
        <f>300000+130000</f>
        <v>430000</v>
      </c>
      <c r="AD23" s="112"/>
      <c r="AE23" s="184">
        <f>AC23+AD23</f>
        <v>430000</v>
      </c>
      <c r="AF23" s="178">
        <f>317411.6+730+117102.9</f>
        <v>435244.5</v>
      </c>
      <c r="AG23" s="2"/>
      <c r="AH23" s="184">
        <f>AF23+AG23</f>
        <v>435244.5</v>
      </c>
    </row>
    <row r="24" spans="1:37" ht="80.25" customHeight="1" x14ac:dyDescent="0.3">
      <c r="A24" s="379">
        <v>6</v>
      </c>
      <c r="B24" s="357" t="s">
        <v>18</v>
      </c>
      <c r="C24" s="168" t="s">
        <v>16</v>
      </c>
      <c r="D24" s="14">
        <v>2026</v>
      </c>
      <c r="E24" s="14"/>
      <c r="F24" s="14">
        <v>43.15</v>
      </c>
      <c r="G24" s="14">
        <v>4.3150000000000001E-2</v>
      </c>
      <c r="H24" s="140">
        <v>1605.96549</v>
      </c>
      <c r="I24" s="91">
        <f>64167.266+55</f>
        <v>64222.266000000003</v>
      </c>
      <c r="J24" s="47"/>
      <c r="K24" s="14">
        <v>43.15</v>
      </c>
      <c r="L24" s="167" t="e">
        <f>#REF!+#REF!</f>
        <v>#REF!</v>
      </c>
      <c r="M24" s="91">
        <f t="shared" ref="M24:Y24" si="25">M27+M28</f>
        <v>0</v>
      </c>
      <c r="N24" s="84">
        <f>N25+N26</f>
        <v>0</v>
      </c>
      <c r="O24" s="84">
        <f t="shared" ref="O24:P24" si="26">O25+O26</f>
        <v>0</v>
      </c>
      <c r="P24" s="91">
        <f t="shared" si="26"/>
        <v>0</v>
      </c>
      <c r="Q24" s="84">
        <f>Q25+Q26</f>
        <v>3000</v>
      </c>
      <c r="R24" s="84">
        <f t="shared" ref="R24:S24" si="27">R25+R26</f>
        <v>-3000</v>
      </c>
      <c r="S24" s="91">
        <f t="shared" si="27"/>
        <v>0</v>
      </c>
      <c r="T24" s="84">
        <f>T25+T26</f>
        <v>42616.3</v>
      </c>
      <c r="U24" s="84">
        <f t="shared" ref="U24:V24" si="28">U25+U26</f>
        <v>-42616.3</v>
      </c>
      <c r="V24" s="91">
        <f t="shared" si="28"/>
        <v>0</v>
      </c>
      <c r="W24" s="84">
        <f t="shared" si="25"/>
        <v>17000</v>
      </c>
      <c r="X24" s="84">
        <f t="shared" si="25"/>
        <v>-17000</v>
      </c>
      <c r="Y24" s="311">
        <f t="shared" si="25"/>
        <v>0</v>
      </c>
      <c r="Z24" s="84">
        <f t="shared" ref="Z24:AB24" si="29">Z27+Z28</f>
        <v>0</v>
      </c>
      <c r="AA24" s="84">
        <f t="shared" si="29"/>
        <v>3000</v>
      </c>
      <c r="AB24" s="311">
        <f t="shared" si="29"/>
        <v>3000</v>
      </c>
      <c r="AC24" s="84">
        <f t="shared" ref="AC24:AE24" si="30">AC27+AC28</f>
        <v>0</v>
      </c>
      <c r="AD24" s="84">
        <f t="shared" si="30"/>
        <v>42561.3</v>
      </c>
      <c r="AE24" s="311">
        <f t="shared" si="30"/>
        <v>42561.3</v>
      </c>
      <c r="AF24" s="84">
        <f t="shared" ref="AF24:AH24" si="31">AF27+AF28</f>
        <v>0</v>
      </c>
      <c r="AG24" s="84">
        <f t="shared" si="31"/>
        <v>17055</v>
      </c>
      <c r="AH24" s="311">
        <f t="shared" si="31"/>
        <v>17055</v>
      </c>
      <c r="AI24" s="40">
        <f>I24-S24-V24-Y24-AB24-AE24-AH24</f>
        <v>1605.9660000000003</v>
      </c>
      <c r="AJ24" s="300" t="s">
        <v>94</v>
      </c>
    </row>
    <row r="25" spans="1:37" ht="20.25" customHeight="1" x14ac:dyDescent="0.3">
      <c r="A25" s="379"/>
      <c r="B25" s="26" t="s">
        <v>22</v>
      </c>
      <c r="C25" s="27"/>
      <c r="D25" s="28"/>
      <c r="E25" s="28"/>
      <c r="F25" s="28"/>
      <c r="G25" s="28"/>
      <c r="H25" s="138"/>
      <c r="I25" s="92"/>
      <c r="J25" s="34"/>
      <c r="K25" s="28"/>
      <c r="L25" s="19"/>
      <c r="M25" s="92"/>
      <c r="N25" s="85"/>
      <c r="O25" s="35"/>
      <c r="P25" s="92"/>
      <c r="Q25" s="85"/>
      <c r="R25" s="35"/>
      <c r="S25" s="92"/>
      <c r="T25" s="85"/>
      <c r="U25" s="35"/>
      <c r="V25" s="92"/>
      <c r="W25" s="85"/>
      <c r="X25" s="35"/>
      <c r="Y25" s="92"/>
      <c r="Z25" s="85"/>
      <c r="AA25" s="35"/>
      <c r="AB25" s="92"/>
      <c r="AC25" s="85"/>
      <c r="AD25" s="35"/>
      <c r="AE25" s="92"/>
      <c r="AF25" s="85"/>
      <c r="AG25" s="35"/>
      <c r="AH25" s="92"/>
    </row>
    <row r="26" spans="1:37" ht="20.25" customHeight="1" x14ac:dyDescent="0.3">
      <c r="A26" s="379"/>
      <c r="B26" s="6" t="s">
        <v>23</v>
      </c>
      <c r="C26" s="168"/>
      <c r="D26" s="14"/>
      <c r="E26" s="14"/>
      <c r="F26" s="14"/>
      <c r="G26" s="14"/>
      <c r="H26" s="140"/>
      <c r="I26" s="91"/>
      <c r="J26" s="47"/>
      <c r="K26" s="14"/>
      <c r="L26" s="167"/>
      <c r="M26" s="91">
        <f>M27+M28</f>
        <v>0</v>
      </c>
      <c r="O26" s="48"/>
      <c r="P26" s="91">
        <f>N27+N28</f>
        <v>0</v>
      </c>
      <c r="Q26" s="84">
        <f>Q27+Q28</f>
        <v>3000</v>
      </c>
      <c r="R26" s="84">
        <f t="shared" ref="R26:S26" si="32">R27+R28</f>
        <v>-3000</v>
      </c>
      <c r="S26" s="91">
        <f t="shared" si="32"/>
        <v>0</v>
      </c>
      <c r="T26" s="84">
        <f>T27+T28</f>
        <v>42616.3</v>
      </c>
      <c r="U26" s="84">
        <f t="shared" ref="U26:V26" si="33">U27+U28</f>
        <v>-42616.3</v>
      </c>
      <c r="V26" s="91">
        <f t="shared" si="33"/>
        <v>0</v>
      </c>
      <c r="W26" s="84">
        <f>W28</f>
        <v>17000</v>
      </c>
      <c r="X26" s="84">
        <f t="shared" ref="X26:Y26" si="34">X28</f>
        <v>-17000</v>
      </c>
      <c r="Y26" s="311">
        <f t="shared" si="34"/>
        <v>0</v>
      </c>
      <c r="Z26" s="84">
        <f>Z27+Z28</f>
        <v>0</v>
      </c>
      <c r="AA26" s="84">
        <f t="shared" ref="AA26:AB26" si="35">AA27+AA28</f>
        <v>3000</v>
      </c>
      <c r="AB26" s="91">
        <f t="shared" si="35"/>
        <v>3000</v>
      </c>
      <c r="AC26" s="84">
        <f>AC28</f>
        <v>0</v>
      </c>
      <c r="AD26" s="84">
        <f t="shared" ref="AD26:AE26" si="36">AD28</f>
        <v>42561.3</v>
      </c>
      <c r="AE26" s="311">
        <f t="shared" si="36"/>
        <v>42561.3</v>
      </c>
      <c r="AF26" s="84">
        <f>AF28</f>
        <v>0</v>
      </c>
      <c r="AG26" s="84">
        <f t="shared" ref="AG26" si="37">AG28</f>
        <v>17000</v>
      </c>
      <c r="AH26" s="311">
        <f>AH28+AH27</f>
        <v>17055</v>
      </c>
    </row>
    <row r="27" spans="1:37" ht="19.5" customHeight="1" x14ac:dyDescent="0.3">
      <c r="A27" s="379"/>
      <c r="B27" s="6" t="s">
        <v>35</v>
      </c>
      <c r="C27" s="8"/>
      <c r="D27" s="7"/>
      <c r="E27" s="7"/>
      <c r="F27" s="7"/>
      <c r="G27" s="7"/>
      <c r="H27" s="137"/>
      <c r="I27" s="105"/>
      <c r="J27" s="12"/>
      <c r="K27" s="7"/>
      <c r="L27" s="9"/>
      <c r="M27" s="93">
        <v>0</v>
      </c>
      <c r="N27" s="174"/>
      <c r="O27" s="71"/>
      <c r="P27" s="91">
        <f>N27+O27</f>
        <v>0</v>
      </c>
      <c r="Q27" s="69">
        <v>3000</v>
      </c>
      <c r="R27" s="69">
        <v>-3000</v>
      </c>
      <c r="S27" s="91">
        <f t="shared" ref="S27:S28" si="38">Q27+R27</f>
        <v>0</v>
      </c>
      <c r="T27" s="174">
        <v>55</v>
      </c>
      <c r="U27" s="71">
        <v>-55</v>
      </c>
      <c r="V27" s="179">
        <f>T27+U27</f>
        <v>0</v>
      </c>
      <c r="W27" s="178"/>
      <c r="X27" s="112"/>
      <c r="Y27" s="184"/>
      <c r="Z27" s="69">
        <v>0</v>
      </c>
      <c r="AA27" s="69">
        <v>3000</v>
      </c>
      <c r="AB27" s="91">
        <f t="shared" ref="AB27:AB28" si="39">Z27+AA27</f>
        <v>3000</v>
      </c>
      <c r="AC27" s="178">
        <v>0</v>
      </c>
      <c r="AD27" s="112"/>
      <c r="AE27" s="184"/>
      <c r="AF27" s="178">
        <v>0</v>
      </c>
      <c r="AG27" s="112">
        <v>55</v>
      </c>
      <c r="AH27" s="184">
        <f>AF27+AG27</f>
        <v>55</v>
      </c>
    </row>
    <row r="28" spans="1:37" ht="19.5" customHeight="1" x14ac:dyDescent="0.3">
      <c r="A28" s="379"/>
      <c r="B28" s="6" t="s">
        <v>36</v>
      </c>
      <c r="C28" s="8"/>
      <c r="D28" s="7"/>
      <c r="E28" s="7"/>
      <c r="F28" s="7"/>
      <c r="G28" s="7"/>
      <c r="H28" s="137"/>
      <c r="I28" s="105"/>
      <c r="J28" s="12"/>
      <c r="K28" s="7"/>
      <c r="L28" s="9"/>
      <c r="M28" s="93">
        <v>0</v>
      </c>
      <c r="N28" s="174">
        <f>38500*1.044+2367.3-42561.3</f>
        <v>0</v>
      </c>
      <c r="O28" s="71"/>
      <c r="P28" s="91">
        <f>N28+O28</f>
        <v>0</v>
      </c>
      <c r="Q28" s="95">
        <f>20000-20000</f>
        <v>0</v>
      </c>
      <c r="R28" s="69"/>
      <c r="S28" s="91">
        <f t="shared" si="38"/>
        <v>0</v>
      </c>
      <c r="T28" s="174">
        <v>42561.3</v>
      </c>
      <c r="U28" s="71">
        <v>-42561.3</v>
      </c>
      <c r="V28" s="179">
        <f>T28+U28</f>
        <v>0</v>
      </c>
      <c r="W28" s="112">
        <v>17000</v>
      </c>
      <c r="X28" s="112">
        <v>-17000</v>
      </c>
      <c r="Y28" s="184">
        <f>W28+X28</f>
        <v>0</v>
      </c>
      <c r="Z28" s="95">
        <f>20000-20000</f>
        <v>0</v>
      </c>
      <c r="AA28" s="69"/>
      <c r="AB28" s="91">
        <f t="shared" si="39"/>
        <v>0</v>
      </c>
      <c r="AC28" s="112">
        <v>0</v>
      </c>
      <c r="AD28" s="112">
        <v>42561.3</v>
      </c>
      <c r="AE28" s="184">
        <f>AC28+AD28</f>
        <v>42561.3</v>
      </c>
      <c r="AF28" s="112">
        <v>0</v>
      </c>
      <c r="AG28" s="112">
        <v>17000</v>
      </c>
      <c r="AH28" s="184">
        <f>AF28+AG28</f>
        <v>17000</v>
      </c>
    </row>
    <row r="29" spans="1:37" ht="105" customHeight="1" x14ac:dyDescent="0.3">
      <c r="A29" s="346">
        <v>17</v>
      </c>
      <c r="B29" s="358" t="s">
        <v>102</v>
      </c>
      <c r="C29" s="318"/>
      <c r="D29" s="319" t="s">
        <v>52</v>
      </c>
      <c r="E29" s="319">
        <v>2.83</v>
      </c>
      <c r="F29" s="320">
        <v>318</v>
      </c>
      <c r="G29" s="319"/>
      <c r="H29" s="321"/>
      <c r="I29" s="322">
        <v>2860323.6</v>
      </c>
      <c r="J29" s="187"/>
      <c r="K29" s="320"/>
      <c r="L29" s="49"/>
      <c r="M29" s="206">
        <f t="shared" ref="M29:AC29" si="40">M30+M31</f>
        <v>5687.2</v>
      </c>
      <c r="N29" s="187">
        <f t="shared" si="40"/>
        <v>0</v>
      </c>
      <c r="O29" s="49">
        <f t="shared" si="40"/>
        <v>0</v>
      </c>
      <c r="P29" s="206">
        <f t="shared" si="40"/>
        <v>0</v>
      </c>
      <c r="Q29" s="187">
        <f t="shared" si="40"/>
        <v>55885.599999999999</v>
      </c>
      <c r="R29" s="49">
        <f t="shared" si="40"/>
        <v>0</v>
      </c>
      <c r="S29" s="206">
        <f t="shared" si="40"/>
        <v>55885.599999999999</v>
      </c>
      <c r="T29" s="187">
        <f t="shared" si="40"/>
        <v>1588540</v>
      </c>
      <c r="U29" s="49">
        <f t="shared" si="40"/>
        <v>0</v>
      </c>
      <c r="V29" s="206">
        <f t="shared" si="40"/>
        <v>1588540</v>
      </c>
      <c r="W29" s="187">
        <f t="shared" si="40"/>
        <v>742953.6</v>
      </c>
      <c r="X29" s="187">
        <f t="shared" si="40"/>
        <v>0</v>
      </c>
      <c r="Y29" s="334">
        <f t="shared" si="40"/>
        <v>742953.6</v>
      </c>
      <c r="Z29" s="187">
        <f t="shared" si="40"/>
        <v>0</v>
      </c>
      <c r="AA29" s="187">
        <f t="shared" si="40"/>
        <v>0</v>
      </c>
      <c r="AB29" s="334">
        <f t="shared" si="40"/>
        <v>0</v>
      </c>
      <c r="AC29" s="187">
        <f t="shared" si="40"/>
        <v>0</v>
      </c>
      <c r="AD29" s="49"/>
      <c r="AE29" s="206"/>
      <c r="AF29" s="327"/>
      <c r="AG29" s="335"/>
      <c r="AH29" s="336"/>
      <c r="AI29" s="40">
        <f>I29-P29-S29-V29-Y29-AB29</f>
        <v>472944.4</v>
      </c>
      <c r="AJ29" s="300">
        <v>1142.88967</v>
      </c>
      <c r="AK29" s="300" t="s">
        <v>103</v>
      </c>
    </row>
    <row r="30" spans="1:37" s="58" customFormat="1" ht="21.75" customHeight="1" x14ac:dyDescent="0.3">
      <c r="A30" s="60"/>
      <c r="B30" s="57" t="s">
        <v>20</v>
      </c>
      <c r="C30" s="33"/>
      <c r="D30" s="28"/>
      <c r="E30" s="28"/>
      <c r="F30" s="34"/>
      <c r="G30" s="28"/>
      <c r="H30" s="138"/>
      <c r="I30" s="92"/>
      <c r="J30" s="85"/>
      <c r="K30" s="34"/>
      <c r="L30" s="35"/>
      <c r="M30" s="92">
        <v>0</v>
      </c>
      <c r="N30" s="35">
        <f>N33</f>
        <v>0</v>
      </c>
      <c r="O30" s="35">
        <f>O33</f>
        <v>0</v>
      </c>
      <c r="P30" s="92">
        <f>N30+O30</f>
        <v>0</v>
      </c>
      <c r="Q30" s="35">
        <f>450000+21801.5-471801.5</f>
        <v>0</v>
      </c>
      <c r="R30" s="35">
        <v>0</v>
      </c>
      <c r="S30" s="92">
        <f>Q30+R30</f>
        <v>0</v>
      </c>
      <c r="T30" s="189">
        <f>318200+1111486</f>
        <v>1429686</v>
      </c>
      <c r="U30" s="37"/>
      <c r="V30" s="203">
        <f>T30+U30</f>
        <v>1429686</v>
      </c>
      <c r="W30" s="189">
        <f>391811.9+276846.3</f>
        <v>668658.19999999995</v>
      </c>
      <c r="X30" s="37"/>
      <c r="Y30" s="203">
        <f>W30+X30</f>
        <v>668658.19999999995</v>
      </c>
      <c r="Z30" s="189">
        <f>514080.1-46600-467480.1</f>
        <v>0</v>
      </c>
      <c r="AA30" s="37">
        <v>0</v>
      </c>
      <c r="AB30" s="203">
        <f>Z30+AA30</f>
        <v>0</v>
      </c>
      <c r="AC30" s="198"/>
      <c r="AD30" s="113"/>
      <c r="AE30" s="216"/>
      <c r="AF30" s="198"/>
      <c r="AG30" s="198"/>
      <c r="AH30" s="216"/>
    </row>
    <row r="31" spans="1:37" ht="22.5" customHeight="1" x14ac:dyDescent="0.3">
      <c r="A31" s="59"/>
      <c r="B31" s="3" t="s">
        <v>21</v>
      </c>
      <c r="C31" s="46"/>
      <c r="D31" s="14"/>
      <c r="E31" s="14"/>
      <c r="F31" s="47"/>
      <c r="G31" s="14"/>
      <c r="H31" s="140"/>
      <c r="I31" s="91"/>
      <c r="J31" s="84"/>
      <c r="K31" s="47"/>
      <c r="L31" s="48"/>
      <c r="M31" s="91">
        <f t="shared" ref="M31" si="41">M32</f>
        <v>5687.2</v>
      </c>
      <c r="N31" s="84">
        <f>N32</f>
        <v>0</v>
      </c>
      <c r="O31" s="48"/>
      <c r="P31" s="91">
        <f>N31+O31</f>
        <v>0</v>
      </c>
      <c r="Q31" s="84">
        <f>Q32+27300</f>
        <v>55885.599999999999</v>
      </c>
      <c r="R31" s="48">
        <f>R32+R33</f>
        <v>0</v>
      </c>
      <c r="S31" s="91">
        <f>Q31+R31</f>
        <v>55885.599999999999</v>
      </c>
      <c r="T31" s="190">
        <f>31800+127054</f>
        <v>158854</v>
      </c>
      <c r="U31" s="50"/>
      <c r="V31" s="204">
        <f>T31+U31</f>
        <v>158854</v>
      </c>
      <c r="W31" s="197">
        <f>39108+35187.4</f>
        <v>74295.399999999994</v>
      </c>
      <c r="X31" s="111"/>
      <c r="Y31" s="215">
        <f>W31+X31</f>
        <v>74295.399999999994</v>
      </c>
      <c r="Z31" s="197">
        <f>46600-70.4-20198.4-26331.2</f>
        <v>0</v>
      </c>
      <c r="AA31" s="111"/>
      <c r="AB31" s="215">
        <f>Z31+AA31</f>
        <v>0</v>
      </c>
      <c r="AC31" s="178"/>
      <c r="AD31" s="112"/>
      <c r="AE31" s="184"/>
      <c r="AF31" s="178"/>
      <c r="AG31" s="2"/>
      <c r="AH31" s="96"/>
    </row>
    <row r="32" spans="1:37" ht="17.25" customHeight="1" x14ac:dyDescent="0.3">
      <c r="A32" s="59"/>
      <c r="B32" s="6" t="s">
        <v>35</v>
      </c>
      <c r="C32" s="46"/>
      <c r="D32" s="14"/>
      <c r="E32" s="14"/>
      <c r="F32" s="47"/>
      <c r="G32" s="14"/>
      <c r="H32" s="140"/>
      <c r="I32" s="91"/>
      <c r="J32" s="84"/>
      <c r="K32" s="47"/>
      <c r="L32" s="48"/>
      <c r="M32" s="91">
        <v>5687.2</v>
      </c>
      <c r="N32" s="84">
        <f>198.4+5687.2-5885.6</f>
        <v>0</v>
      </c>
      <c r="O32" s="359"/>
      <c r="P32" s="91">
        <f t="shared" ref="P32:P33" si="42">N32+O32</f>
        <v>0</v>
      </c>
      <c r="Q32" s="84">
        <f>20000+2700+5885.6</f>
        <v>28585.599999999999</v>
      </c>
      <c r="R32" s="48"/>
      <c r="S32" s="91">
        <f t="shared" ref="S32:S33" si="43">Q32+R32</f>
        <v>28585.599999999999</v>
      </c>
      <c r="T32" s="190"/>
      <c r="U32" s="50"/>
      <c r="V32" s="204"/>
      <c r="W32" s="178"/>
      <c r="X32" s="112"/>
      <c r="Y32" s="184"/>
      <c r="Z32" s="178"/>
      <c r="AA32" s="112"/>
      <c r="AB32" s="184"/>
      <c r="AC32" s="178"/>
      <c r="AD32" s="112"/>
      <c r="AE32" s="184"/>
      <c r="AF32" s="178"/>
      <c r="AG32" s="2"/>
      <c r="AH32" s="96"/>
    </row>
    <row r="33" spans="1:36" ht="46.5" customHeight="1" x14ac:dyDescent="0.3">
      <c r="A33" s="59"/>
      <c r="B33" s="6" t="s">
        <v>131</v>
      </c>
      <c r="C33" s="46"/>
      <c r="D33" s="14"/>
      <c r="E33" s="14"/>
      <c r="F33" s="47"/>
      <c r="G33" s="14"/>
      <c r="H33" s="140"/>
      <c r="I33" s="91"/>
      <c r="J33" s="84"/>
      <c r="K33" s="47"/>
      <c r="L33" s="48"/>
      <c r="M33" s="91">
        <v>0</v>
      </c>
      <c r="N33" s="48">
        <f>22000-198.5-21801.5</f>
        <v>0</v>
      </c>
      <c r="O33" s="48"/>
      <c r="P33" s="91">
        <f t="shared" si="42"/>
        <v>0</v>
      </c>
      <c r="Q33" s="48">
        <f>477300+21801.5-471801.5</f>
        <v>27300</v>
      </c>
      <c r="R33" s="48"/>
      <c r="S33" s="91">
        <f t="shared" si="43"/>
        <v>27300</v>
      </c>
      <c r="T33" s="84">
        <f>350000+1238540</f>
        <v>1588540</v>
      </c>
      <c r="U33" s="48"/>
      <c r="V33" s="91">
        <f>T33+U33</f>
        <v>1588540</v>
      </c>
      <c r="W33" s="197">
        <f>430919.9+312033.7</f>
        <v>742953.60000000009</v>
      </c>
      <c r="X33" s="111"/>
      <c r="Y33" s="215">
        <f>W33+X33</f>
        <v>742953.60000000009</v>
      </c>
      <c r="Z33" s="197">
        <v>471801.5</v>
      </c>
      <c r="AA33" s="111"/>
      <c r="AB33" s="215">
        <f>Z33+AA33</f>
        <v>471801.5</v>
      </c>
      <c r="AC33" s="178"/>
      <c r="AD33" s="112"/>
      <c r="AE33" s="184"/>
      <c r="AF33" s="178"/>
      <c r="AG33" s="2"/>
      <c r="AH33" s="96"/>
    </row>
    <row r="34" spans="1:36" s="58" customFormat="1" ht="90.75" customHeight="1" x14ac:dyDescent="0.3">
      <c r="A34" s="236"/>
      <c r="B34" s="358" t="s">
        <v>141</v>
      </c>
      <c r="C34" s="318"/>
      <c r="D34" s="319" t="s">
        <v>48</v>
      </c>
      <c r="E34" s="319">
        <v>2.5</v>
      </c>
      <c r="F34" s="320"/>
      <c r="G34" s="319"/>
      <c r="H34" s="321"/>
      <c r="I34" s="322">
        <v>1768282</v>
      </c>
      <c r="J34" s="187"/>
      <c r="K34" s="320"/>
      <c r="L34" s="49"/>
      <c r="M34" s="206"/>
      <c r="N34" s="187">
        <f t="shared" ref="N34:Y34" si="44">N35+N36</f>
        <v>0</v>
      </c>
      <c r="O34" s="49">
        <f t="shared" si="44"/>
        <v>0</v>
      </c>
      <c r="P34" s="206">
        <f t="shared" si="44"/>
        <v>0</v>
      </c>
      <c r="Q34" s="323">
        <f t="shared" si="44"/>
        <v>55446</v>
      </c>
      <c r="R34" s="324">
        <f t="shared" si="44"/>
        <v>-31467</v>
      </c>
      <c r="S34" s="325">
        <f t="shared" si="44"/>
        <v>23979</v>
      </c>
      <c r="T34" s="323">
        <f t="shared" si="44"/>
        <v>0</v>
      </c>
      <c r="U34" s="324">
        <f t="shared" si="44"/>
        <v>31467</v>
      </c>
      <c r="V34" s="325">
        <f t="shared" si="44"/>
        <v>31467</v>
      </c>
      <c r="W34" s="323">
        <f t="shared" si="44"/>
        <v>574236</v>
      </c>
      <c r="X34" s="323">
        <f t="shared" si="44"/>
        <v>0</v>
      </c>
      <c r="Y34" s="326">
        <f t="shared" si="44"/>
        <v>574236</v>
      </c>
      <c r="Z34" s="327">
        <f>Z35+Z36</f>
        <v>850000</v>
      </c>
      <c r="AA34" s="327">
        <f t="shared" ref="AA34:AB34" si="45">AA35+AA36</f>
        <v>0</v>
      </c>
      <c r="AB34" s="328">
        <f t="shared" si="45"/>
        <v>850000</v>
      </c>
      <c r="AC34" s="329"/>
      <c r="AD34" s="330"/>
      <c r="AE34" s="331"/>
      <c r="AF34" s="329"/>
      <c r="AG34" s="332"/>
      <c r="AH34" s="333"/>
      <c r="AI34" s="301">
        <f>I34-P34-S34-V34-Y34-AB34</f>
        <v>288600</v>
      </c>
    </row>
    <row r="35" spans="1:36" s="133" customFormat="1" ht="21" customHeight="1" x14ac:dyDescent="0.3">
      <c r="A35" s="60"/>
      <c r="B35" s="57" t="s">
        <v>20</v>
      </c>
      <c r="C35" s="33"/>
      <c r="D35" s="28"/>
      <c r="E35" s="28"/>
      <c r="F35" s="34"/>
      <c r="G35" s="28"/>
      <c r="H35" s="138"/>
      <c r="I35" s="92"/>
      <c r="J35" s="85"/>
      <c r="K35" s="34"/>
      <c r="L35" s="35"/>
      <c r="M35" s="92"/>
      <c r="N35" s="35">
        <f>N38</f>
        <v>0</v>
      </c>
      <c r="O35" s="35">
        <f>O38</f>
        <v>0</v>
      </c>
      <c r="P35" s="35">
        <f>P38</f>
        <v>0</v>
      </c>
      <c r="Q35" s="186">
        <f>Q38</f>
        <v>0</v>
      </c>
      <c r="R35" s="186">
        <f t="shared" ref="R35:S35" si="46">R38</f>
        <v>0</v>
      </c>
      <c r="S35" s="296">
        <f t="shared" si="46"/>
        <v>0</v>
      </c>
      <c r="T35" s="186">
        <f>T38</f>
        <v>0</v>
      </c>
      <c r="U35" s="186">
        <f t="shared" ref="U35:V35" si="47">U38</f>
        <v>0</v>
      </c>
      <c r="V35" s="296">
        <f t="shared" si="47"/>
        <v>0</v>
      </c>
      <c r="W35" s="189">
        <f>274236+300000</f>
        <v>574236</v>
      </c>
      <c r="X35" s="37"/>
      <c r="Y35" s="203">
        <f>W35+X35</f>
        <v>574236</v>
      </c>
      <c r="Z35" s="37">
        <v>850000</v>
      </c>
      <c r="AA35" s="37"/>
      <c r="AB35" s="203">
        <f>Z35+AA35</f>
        <v>850000</v>
      </c>
      <c r="AC35" s="198"/>
      <c r="AD35" s="113"/>
      <c r="AE35" s="216"/>
      <c r="AF35" s="198"/>
      <c r="AG35" s="232"/>
      <c r="AH35" s="235"/>
    </row>
    <row r="36" spans="1:36" ht="21" customHeight="1" x14ac:dyDescent="0.3">
      <c r="A36" s="59"/>
      <c r="B36" s="3" t="s">
        <v>21</v>
      </c>
      <c r="C36" s="46"/>
      <c r="D36" s="14"/>
      <c r="E36" s="14"/>
      <c r="F36" s="47"/>
      <c r="G36" s="14"/>
      <c r="H36" s="140"/>
      <c r="I36" s="91"/>
      <c r="J36" s="84"/>
      <c r="K36" s="47"/>
      <c r="L36" s="48"/>
      <c r="M36" s="91"/>
      <c r="N36" s="84">
        <f t="shared" ref="N36:V36" si="48">N37</f>
        <v>0</v>
      </c>
      <c r="O36" s="48">
        <f t="shared" si="48"/>
        <v>0</v>
      </c>
      <c r="P36" s="91">
        <f t="shared" si="48"/>
        <v>0</v>
      </c>
      <c r="Q36" s="185">
        <f t="shared" si="48"/>
        <v>55446</v>
      </c>
      <c r="R36" s="121">
        <f t="shared" si="48"/>
        <v>-31467</v>
      </c>
      <c r="S36" s="196">
        <f t="shared" si="48"/>
        <v>23979</v>
      </c>
      <c r="T36" s="185">
        <f t="shared" si="48"/>
        <v>0</v>
      </c>
      <c r="U36" s="121">
        <f t="shared" si="48"/>
        <v>31467</v>
      </c>
      <c r="V36" s="196">
        <f t="shared" si="48"/>
        <v>31467</v>
      </c>
      <c r="W36" s="197"/>
      <c r="X36" s="111"/>
      <c r="Y36" s="215"/>
      <c r="Z36" s="197"/>
      <c r="AA36" s="111"/>
      <c r="AB36" s="215"/>
      <c r="AC36" s="178"/>
      <c r="AD36" s="112"/>
      <c r="AE36" s="184"/>
      <c r="AF36" s="178"/>
      <c r="AG36" s="2"/>
      <c r="AH36" s="96"/>
    </row>
    <row r="37" spans="1:36" ht="21" customHeight="1" x14ac:dyDescent="0.3">
      <c r="A37" s="59"/>
      <c r="B37" s="6" t="s">
        <v>35</v>
      </c>
      <c r="C37" s="46"/>
      <c r="D37" s="14"/>
      <c r="E37" s="14"/>
      <c r="F37" s="47"/>
      <c r="G37" s="14"/>
      <c r="H37" s="140"/>
      <c r="I37" s="91"/>
      <c r="J37" s="84"/>
      <c r="K37" s="47"/>
      <c r="L37" s="48"/>
      <c r="M37" s="91"/>
      <c r="N37" s="84">
        <f>25682-9430-16252</f>
        <v>0</v>
      </c>
      <c r="O37" s="48"/>
      <c r="P37" s="91">
        <f>N37+O37</f>
        <v>0</v>
      </c>
      <c r="Q37" s="185">
        <f>29764+9430+16252</f>
        <v>55446</v>
      </c>
      <c r="R37" s="121">
        <v>-31467</v>
      </c>
      <c r="S37" s="91">
        <f>Q37+R37</f>
        <v>23979</v>
      </c>
      <c r="T37" s="185">
        <v>0</v>
      </c>
      <c r="U37" s="121">
        <v>31467</v>
      </c>
      <c r="V37" s="91">
        <f>T37+U37</f>
        <v>31467</v>
      </c>
      <c r="W37" s="197"/>
      <c r="X37" s="111"/>
      <c r="Y37" s="215"/>
      <c r="Z37" s="197"/>
      <c r="AA37" s="111"/>
      <c r="AB37" s="215"/>
      <c r="AC37" s="178"/>
      <c r="AD37" s="112"/>
      <c r="AE37" s="184"/>
      <c r="AF37" s="178"/>
      <c r="AG37" s="2"/>
      <c r="AH37" s="96"/>
    </row>
    <row r="38" spans="1:36" ht="16.5" customHeight="1" x14ac:dyDescent="0.3">
      <c r="A38" s="59"/>
      <c r="B38" s="6" t="s">
        <v>101</v>
      </c>
      <c r="C38" s="46"/>
      <c r="D38" s="14"/>
      <c r="E38" s="14"/>
      <c r="F38" s="47"/>
      <c r="G38" s="14"/>
      <c r="H38" s="140"/>
      <c r="I38" s="91"/>
      <c r="J38" s="84"/>
      <c r="K38" s="47"/>
      <c r="L38" s="48"/>
      <c r="M38" s="91"/>
      <c r="N38" s="84"/>
      <c r="O38" s="48"/>
      <c r="P38" s="91">
        <f>O38+N38</f>
        <v>0</v>
      </c>
      <c r="Q38" s="185">
        <f>450000-450000</f>
        <v>0</v>
      </c>
      <c r="R38" s="121"/>
      <c r="S38" s="91">
        <f>Q38+R38</f>
        <v>0</v>
      </c>
      <c r="T38" s="190"/>
      <c r="U38" s="50"/>
      <c r="V38" s="204"/>
      <c r="W38" s="197">
        <f>274236+300000</f>
        <v>574236</v>
      </c>
      <c r="X38" s="111"/>
      <c r="Y38" s="215">
        <f>W38+X38</f>
        <v>574236</v>
      </c>
      <c r="Z38" s="111">
        <v>850000</v>
      </c>
      <c r="AA38" s="111"/>
      <c r="AB38" s="215">
        <f>Z38+AA38</f>
        <v>850000</v>
      </c>
      <c r="AC38" s="178"/>
      <c r="AD38" s="112"/>
      <c r="AE38" s="184"/>
      <c r="AF38" s="178"/>
      <c r="AG38" s="2"/>
      <c r="AH38" s="96"/>
    </row>
    <row r="39" spans="1:36" ht="119.25" customHeight="1" x14ac:dyDescent="0.3">
      <c r="A39" s="384">
        <v>19</v>
      </c>
      <c r="B39" s="357" t="s">
        <v>55</v>
      </c>
      <c r="C39" s="46"/>
      <c r="D39" s="14" t="s">
        <v>49</v>
      </c>
      <c r="E39" s="14">
        <v>19.8</v>
      </c>
      <c r="F39" s="47"/>
      <c r="G39" s="14"/>
      <c r="H39" s="140"/>
      <c r="I39" s="170">
        <v>1572854.8</v>
      </c>
      <c r="J39" s="84"/>
      <c r="K39" s="47"/>
      <c r="L39" s="48"/>
      <c r="M39" s="91">
        <f t="shared" ref="M39:AB39" si="49">M40+M41</f>
        <v>0</v>
      </c>
      <c r="N39" s="84">
        <f t="shared" si="49"/>
        <v>0</v>
      </c>
      <c r="O39" s="48">
        <f t="shared" si="49"/>
        <v>0</v>
      </c>
      <c r="P39" s="91">
        <f t="shared" si="49"/>
        <v>0</v>
      </c>
      <c r="Q39" s="84">
        <f t="shared" si="49"/>
        <v>0</v>
      </c>
      <c r="R39" s="48">
        <f t="shared" si="49"/>
        <v>0</v>
      </c>
      <c r="S39" s="91">
        <f t="shared" ref="S39" si="50">Q39+R39</f>
        <v>0</v>
      </c>
      <c r="T39" s="84">
        <f t="shared" si="49"/>
        <v>0</v>
      </c>
      <c r="U39" s="48">
        <f t="shared" si="49"/>
        <v>17017.599999999999</v>
      </c>
      <c r="V39" s="91">
        <f t="shared" si="49"/>
        <v>17017.599999999999</v>
      </c>
      <c r="W39" s="84">
        <f t="shared" si="49"/>
        <v>502767.6</v>
      </c>
      <c r="X39" s="84">
        <f t="shared" si="49"/>
        <v>0</v>
      </c>
      <c r="Y39" s="311">
        <f t="shared" si="49"/>
        <v>502767.6</v>
      </c>
      <c r="Z39" s="84">
        <f t="shared" si="49"/>
        <v>371232.4</v>
      </c>
      <c r="AA39" s="84">
        <f t="shared" si="49"/>
        <v>0</v>
      </c>
      <c r="AB39" s="311">
        <f t="shared" si="49"/>
        <v>371232.4</v>
      </c>
      <c r="AC39" s="190">
        <f>AC40+AC41</f>
        <v>401815.7</v>
      </c>
      <c r="AD39" s="190">
        <f t="shared" ref="AD39:AE39" si="51">AD40+AD41</f>
        <v>0</v>
      </c>
      <c r="AE39" s="312">
        <f t="shared" si="51"/>
        <v>401815.7</v>
      </c>
      <c r="AF39" s="190"/>
      <c r="AG39" s="76"/>
      <c r="AH39" s="96"/>
      <c r="AI39" s="40">
        <f>I39-S39-V39-Y39-AB39-AE39</f>
        <v>280021.50000000006</v>
      </c>
      <c r="AJ39" s="360" t="s">
        <v>137</v>
      </c>
    </row>
    <row r="40" spans="1:36" s="58" customFormat="1" ht="30.75" customHeight="1" x14ac:dyDescent="0.3">
      <c r="A40" s="60"/>
      <c r="B40" s="57" t="s">
        <v>20</v>
      </c>
      <c r="C40" s="33"/>
      <c r="D40" s="28"/>
      <c r="E40" s="28"/>
      <c r="F40" s="34"/>
      <c r="G40" s="28"/>
      <c r="H40" s="138"/>
      <c r="I40" s="92"/>
      <c r="J40" s="85"/>
      <c r="K40" s="34"/>
      <c r="L40" s="35"/>
      <c r="M40" s="92">
        <v>0</v>
      </c>
      <c r="N40" s="85"/>
      <c r="O40" s="35"/>
      <c r="P40" s="92">
        <f>N40+O40</f>
        <v>0</v>
      </c>
      <c r="Q40" s="85"/>
      <c r="R40" s="35"/>
      <c r="S40" s="92">
        <f>Q40+R40</f>
        <v>0</v>
      </c>
      <c r="T40" s="189">
        <f>400000-400000</f>
        <v>0</v>
      </c>
      <c r="U40" s="37"/>
      <c r="V40" s="203">
        <f>T40+U40</f>
        <v>0</v>
      </c>
      <c r="W40" s="189">
        <v>502767.6</v>
      </c>
      <c r="X40" s="37"/>
      <c r="Y40" s="203">
        <f>W40+X40</f>
        <v>502767.6</v>
      </c>
      <c r="Z40" s="189">
        <f>371882.4-650</f>
        <v>371232.4</v>
      </c>
      <c r="AA40" s="37"/>
      <c r="AB40" s="203">
        <f>Z40+AA40</f>
        <v>371232.4</v>
      </c>
      <c r="AC40" s="37">
        <v>401815.7</v>
      </c>
      <c r="AD40" s="37"/>
      <c r="AE40" s="203">
        <f>AC40+AD40</f>
        <v>401815.7</v>
      </c>
      <c r="AF40" s="198"/>
      <c r="AG40" s="198"/>
      <c r="AH40" s="216"/>
    </row>
    <row r="41" spans="1:36" ht="21" customHeight="1" x14ac:dyDescent="0.3">
      <c r="A41" s="59"/>
      <c r="B41" s="3" t="s">
        <v>21</v>
      </c>
      <c r="C41" s="46"/>
      <c r="D41" s="14"/>
      <c r="E41" s="14"/>
      <c r="F41" s="47"/>
      <c r="G41" s="14"/>
      <c r="H41" s="140"/>
      <c r="I41" s="91"/>
      <c r="J41" s="84"/>
      <c r="K41" s="47"/>
      <c r="L41" s="48"/>
      <c r="M41" s="91">
        <f t="shared" ref="M41" si="52">M42</f>
        <v>0</v>
      </c>
      <c r="N41" s="84">
        <f>N42+N43</f>
        <v>0</v>
      </c>
      <c r="O41" s="48">
        <f t="shared" ref="O41:P41" si="53">O42+O43</f>
        <v>0</v>
      </c>
      <c r="P41" s="91">
        <f t="shared" si="53"/>
        <v>0</v>
      </c>
      <c r="Q41" s="84">
        <f>Q42+Q43</f>
        <v>0</v>
      </c>
      <c r="R41" s="84">
        <f>R42+R43</f>
        <v>0</v>
      </c>
      <c r="S41" s="91">
        <f>Q41+R41</f>
        <v>0</v>
      </c>
      <c r="T41" s="190">
        <f>T42+T43</f>
        <v>0</v>
      </c>
      <c r="U41" s="190">
        <f>U42+U43</f>
        <v>17017.599999999999</v>
      </c>
      <c r="V41" s="190">
        <f>V42+V43</f>
        <v>17017.599999999999</v>
      </c>
      <c r="W41" s="178"/>
      <c r="X41" s="112"/>
      <c r="Y41" s="184"/>
      <c r="Z41" s="178"/>
      <c r="AA41" s="112"/>
      <c r="AB41" s="184"/>
      <c r="AC41" s="178"/>
      <c r="AD41" s="112"/>
      <c r="AE41" s="184"/>
      <c r="AF41" s="178"/>
      <c r="AG41" s="2"/>
      <c r="AH41" s="96"/>
    </row>
    <row r="42" spans="1:36" ht="21" customHeight="1" x14ac:dyDescent="0.3">
      <c r="A42" s="59"/>
      <c r="B42" s="6" t="s">
        <v>35</v>
      </c>
      <c r="C42" s="46"/>
      <c r="D42" s="14"/>
      <c r="E42" s="14"/>
      <c r="F42" s="47"/>
      <c r="G42" s="14"/>
      <c r="H42" s="140"/>
      <c r="I42" s="91"/>
      <c r="J42" s="84"/>
      <c r="K42" s="47"/>
      <c r="L42" s="48"/>
      <c r="M42" s="91">
        <v>0</v>
      </c>
      <c r="N42" s="84">
        <f>650-650</f>
        <v>0</v>
      </c>
      <c r="O42" s="48"/>
      <c r="P42" s="91">
        <f>N42+O42</f>
        <v>0</v>
      </c>
      <c r="Q42" s="84">
        <f>17017.6-17017.6</f>
        <v>0</v>
      </c>
      <c r="R42" s="48">
        <v>0</v>
      </c>
      <c r="S42" s="91">
        <f t="shared" ref="S42:S44" si="54">Q42+R42</f>
        <v>0</v>
      </c>
      <c r="T42" s="190"/>
      <c r="U42" s="50">
        <v>17017.599999999999</v>
      </c>
      <c r="V42" s="204">
        <f>T42+U42</f>
        <v>17017.599999999999</v>
      </c>
      <c r="W42" s="178"/>
      <c r="X42" s="112"/>
      <c r="Y42" s="184"/>
      <c r="Z42" s="178"/>
      <c r="AA42" s="112"/>
      <c r="AB42" s="184"/>
      <c r="AC42" s="178"/>
      <c r="AD42" s="112"/>
      <c r="AE42" s="184"/>
      <c r="AF42" s="178"/>
      <c r="AG42" s="2"/>
      <c r="AH42" s="96"/>
    </row>
    <row r="43" spans="1:36" ht="21" customHeight="1" x14ac:dyDescent="0.3">
      <c r="A43" s="59"/>
      <c r="B43" s="6" t="s">
        <v>36</v>
      </c>
      <c r="C43" s="46"/>
      <c r="D43" s="14"/>
      <c r="E43" s="14"/>
      <c r="F43" s="47"/>
      <c r="G43" s="14"/>
      <c r="H43" s="140"/>
      <c r="I43" s="91"/>
      <c r="J43" s="84"/>
      <c r="K43" s="47"/>
      <c r="L43" s="48"/>
      <c r="M43" s="91">
        <v>0</v>
      </c>
      <c r="N43" s="84"/>
      <c r="O43" s="48"/>
      <c r="P43" s="91"/>
      <c r="Q43" s="84"/>
      <c r="R43" s="48"/>
      <c r="S43" s="91">
        <f t="shared" si="54"/>
        <v>0</v>
      </c>
      <c r="T43" s="190">
        <f>400000-400000</f>
        <v>0</v>
      </c>
      <c r="U43" s="50"/>
      <c r="V43" s="204">
        <f>T43+U43</f>
        <v>0</v>
      </c>
      <c r="W43" s="197">
        <v>502767.6</v>
      </c>
      <c r="X43" s="111"/>
      <c r="Y43" s="215">
        <f>W43+X43</f>
        <v>502767.6</v>
      </c>
      <c r="Z43" s="197">
        <f>371882.4-650</f>
        <v>371232.4</v>
      </c>
      <c r="AA43" s="111"/>
      <c r="AB43" s="215">
        <f>Z43+AA43</f>
        <v>371232.4</v>
      </c>
      <c r="AC43" s="112">
        <v>401815.7</v>
      </c>
      <c r="AD43" s="112"/>
      <c r="AE43" s="184">
        <f>AC43+AD43</f>
        <v>401815.7</v>
      </c>
      <c r="AF43" s="178"/>
      <c r="AG43" s="2"/>
      <c r="AH43" s="96"/>
    </row>
    <row r="44" spans="1:36" ht="111.6" customHeight="1" x14ac:dyDescent="0.3">
      <c r="A44" s="384">
        <v>20</v>
      </c>
      <c r="B44" s="357" t="s">
        <v>38</v>
      </c>
      <c r="C44" s="46"/>
      <c r="D44" s="14" t="s">
        <v>50</v>
      </c>
      <c r="E44" s="14">
        <v>8.5</v>
      </c>
      <c r="F44" s="47"/>
      <c r="G44" s="14"/>
      <c r="H44" s="140"/>
      <c r="I44" s="91">
        <f>403800+1568.3+5075.1</f>
        <v>410443.39999999997</v>
      </c>
      <c r="J44" s="84"/>
      <c r="K44" s="47"/>
      <c r="L44" s="48"/>
      <c r="M44" s="91"/>
      <c r="N44" s="84"/>
      <c r="O44" s="48"/>
      <c r="P44" s="91"/>
      <c r="Q44" s="84">
        <f>Q45+Q46</f>
        <v>0</v>
      </c>
      <c r="R44" s="48"/>
      <c r="S44" s="91">
        <f t="shared" si="54"/>
        <v>0</v>
      </c>
      <c r="T44" s="84">
        <f>T45+T46</f>
        <v>0</v>
      </c>
      <c r="U44" s="48"/>
      <c r="V44" s="91"/>
      <c r="W44" s="84">
        <f t="shared" ref="W44:AH44" si="55">W45+W46</f>
        <v>1568.3</v>
      </c>
      <c r="X44" s="84">
        <f t="shared" si="55"/>
        <v>0</v>
      </c>
      <c r="Y44" s="91">
        <f t="shared" si="55"/>
        <v>1568.3</v>
      </c>
      <c r="Z44" s="84">
        <f t="shared" si="55"/>
        <v>5075.1000000000004</v>
      </c>
      <c r="AA44" s="84">
        <f t="shared" si="55"/>
        <v>0</v>
      </c>
      <c r="AB44" s="91">
        <f t="shared" si="55"/>
        <v>5075.1000000000004</v>
      </c>
      <c r="AC44" s="84">
        <f t="shared" si="55"/>
        <v>200000</v>
      </c>
      <c r="AD44" s="84">
        <f t="shared" si="55"/>
        <v>0</v>
      </c>
      <c r="AE44" s="91">
        <f t="shared" si="55"/>
        <v>200000</v>
      </c>
      <c r="AF44" s="84">
        <f t="shared" si="55"/>
        <v>203800</v>
      </c>
      <c r="AG44" s="84">
        <f t="shared" si="55"/>
        <v>0</v>
      </c>
      <c r="AH44" s="91">
        <f t="shared" si="55"/>
        <v>203800</v>
      </c>
      <c r="AI44" s="40">
        <f>I44-M44-P44-S44-V44-Y44-AB44-AE44-AH44</f>
        <v>0</v>
      </c>
    </row>
    <row r="45" spans="1:36" s="58" customFormat="1" ht="24" customHeight="1" x14ac:dyDescent="0.3">
      <c r="A45" s="60"/>
      <c r="B45" s="57" t="s">
        <v>20</v>
      </c>
      <c r="C45" s="33"/>
      <c r="D45" s="28"/>
      <c r="E45" s="28"/>
      <c r="F45" s="34"/>
      <c r="G45" s="28"/>
      <c r="H45" s="138"/>
      <c r="I45" s="92"/>
      <c r="J45" s="85"/>
      <c r="K45" s="34"/>
      <c r="L45" s="35"/>
      <c r="M45" s="92"/>
      <c r="N45" s="85"/>
      <c r="O45" s="35"/>
      <c r="P45" s="92"/>
      <c r="Q45" s="85"/>
      <c r="R45" s="35"/>
      <c r="S45" s="92">
        <f>Q45+R45</f>
        <v>0</v>
      </c>
      <c r="T45" s="189"/>
      <c r="U45" s="37"/>
      <c r="V45" s="203"/>
      <c r="W45" s="189"/>
      <c r="X45" s="37"/>
      <c r="Y45" s="203"/>
      <c r="Z45" s="189"/>
      <c r="AA45" s="37"/>
      <c r="AB45" s="203"/>
      <c r="AC45" s="189">
        <f>AC48</f>
        <v>200000</v>
      </c>
      <c r="AD45" s="189">
        <f t="shared" ref="AD45:AE45" si="56">AD48</f>
        <v>0</v>
      </c>
      <c r="AE45" s="203">
        <f t="shared" si="56"/>
        <v>200000</v>
      </c>
      <c r="AF45" s="189">
        <f>AF48</f>
        <v>203800</v>
      </c>
      <c r="AG45" s="189">
        <f t="shared" ref="AG45:AH45" si="57">AG48</f>
        <v>0</v>
      </c>
      <c r="AH45" s="203">
        <f t="shared" si="57"/>
        <v>203800</v>
      </c>
    </row>
    <row r="46" spans="1:36" ht="20.25" customHeight="1" x14ac:dyDescent="0.3">
      <c r="A46" s="59"/>
      <c r="B46" s="3" t="s">
        <v>21</v>
      </c>
      <c r="C46" s="46"/>
      <c r="D46" s="14"/>
      <c r="E46" s="14"/>
      <c r="F46" s="47"/>
      <c r="G46" s="14"/>
      <c r="H46" s="140"/>
      <c r="I46" s="91"/>
      <c r="J46" s="84"/>
      <c r="K46" s="47"/>
      <c r="L46" s="48"/>
      <c r="M46" s="91"/>
      <c r="N46" s="84"/>
      <c r="O46" s="48"/>
      <c r="P46" s="91"/>
      <c r="Q46" s="84"/>
      <c r="R46" s="48"/>
      <c r="S46" s="91">
        <f>Q46+R46</f>
        <v>0</v>
      </c>
      <c r="T46" s="84"/>
      <c r="U46" s="48"/>
      <c r="V46" s="91"/>
      <c r="W46" s="84">
        <f>W47</f>
        <v>1568.3</v>
      </c>
      <c r="X46" s="84">
        <f t="shared" ref="X46:Y46" si="58">X47</f>
        <v>0</v>
      </c>
      <c r="Y46" s="91">
        <f t="shared" si="58"/>
        <v>1568.3</v>
      </c>
      <c r="Z46" s="190">
        <f>Z47</f>
        <v>5075.1000000000004</v>
      </c>
      <c r="AA46" s="190">
        <f t="shared" ref="AA46:AB46" si="59">AA47</f>
        <v>0</v>
      </c>
      <c r="AB46" s="204">
        <f t="shared" si="59"/>
        <v>5075.1000000000004</v>
      </c>
      <c r="AC46" s="190"/>
      <c r="AD46" s="50"/>
      <c r="AE46" s="204"/>
      <c r="AF46" s="178"/>
      <c r="AG46" s="2"/>
      <c r="AH46" s="96"/>
    </row>
    <row r="47" spans="1:36" ht="21" customHeight="1" x14ac:dyDescent="0.3">
      <c r="A47" s="59"/>
      <c r="B47" s="6" t="s">
        <v>35</v>
      </c>
      <c r="C47" s="46"/>
      <c r="D47" s="14"/>
      <c r="E47" s="14"/>
      <c r="F47" s="47"/>
      <c r="G47" s="14"/>
      <c r="H47" s="140"/>
      <c r="I47" s="91"/>
      <c r="J47" s="84"/>
      <c r="K47" s="47"/>
      <c r="L47" s="48"/>
      <c r="M47" s="91"/>
      <c r="N47" s="84"/>
      <c r="O47" s="48"/>
      <c r="P47" s="91"/>
      <c r="Q47" s="84"/>
      <c r="R47" s="48"/>
      <c r="S47" s="91">
        <f t="shared" ref="S47:S48" si="60">Q47+R47</f>
        <v>0</v>
      </c>
      <c r="T47" s="84"/>
      <c r="U47" s="48"/>
      <c r="V47" s="91"/>
      <c r="W47" s="84">
        <v>1568.3</v>
      </c>
      <c r="X47" s="48"/>
      <c r="Y47" s="91">
        <f>W47+X47</f>
        <v>1568.3</v>
      </c>
      <c r="Z47" s="190">
        <v>5075.1000000000004</v>
      </c>
      <c r="AA47" s="50"/>
      <c r="AB47" s="204">
        <f>Z47+AA47</f>
        <v>5075.1000000000004</v>
      </c>
      <c r="AC47" s="190"/>
      <c r="AD47" s="50"/>
      <c r="AE47" s="204"/>
      <c r="AF47" s="178"/>
      <c r="AG47" s="2"/>
      <c r="AH47" s="96"/>
    </row>
    <row r="48" spans="1:36" ht="21" customHeight="1" x14ac:dyDescent="0.3">
      <c r="A48" s="59"/>
      <c r="B48" s="6" t="s">
        <v>36</v>
      </c>
      <c r="C48" s="46"/>
      <c r="D48" s="14"/>
      <c r="E48" s="14"/>
      <c r="F48" s="47"/>
      <c r="G48" s="14"/>
      <c r="H48" s="140"/>
      <c r="I48" s="91"/>
      <c r="J48" s="84"/>
      <c r="K48" s="47"/>
      <c r="L48" s="48"/>
      <c r="M48" s="91"/>
      <c r="N48" s="84"/>
      <c r="O48" s="48"/>
      <c r="P48" s="91"/>
      <c r="Q48" s="84"/>
      <c r="R48" s="48"/>
      <c r="S48" s="91">
        <f t="shared" si="60"/>
        <v>0</v>
      </c>
      <c r="T48" s="190"/>
      <c r="U48" s="50"/>
      <c r="V48" s="204"/>
      <c r="W48" s="178"/>
      <c r="X48" s="112"/>
      <c r="Y48" s="184"/>
      <c r="Z48" s="178"/>
      <c r="AA48" s="112"/>
      <c r="AB48" s="184"/>
      <c r="AC48" s="178">
        <v>200000</v>
      </c>
      <c r="AD48" s="112"/>
      <c r="AE48" s="184">
        <f>AC48+AD48</f>
        <v>200000</v>
      </c>
      <c r="AF48" s="178">
        <v>203800</v>
      </c>
      <c r="AG48" s="2"/>
      <c r="AH48" s="184">
        <f>AF48+AG48</f>
        <v>203800</v>
      </c>
    </row>
    <row r="49" spans="1:35" ht="77.25" customHeight="1" x14ac:dyDescent="0.3">
      <c r="A49" s="59"/>
      <c r="B49" s="357" t="s">
        <v>84</v>
      </c>
      <c r="C49" s="46" t="s">
        <v>16</v>
      </c>
      <c r="D49" s="14">
        <v>2024</v>
      </c>
      <c r="E49" s="14">
        <v>9.8190000000000008</v>
      </c>
      <c r="F49" s="47"/>
      <c r="G49" s="14"/>
      <c r="H49" s="140"/>
      <c r="I49" s="91">
        <v>763243</v>
      </c>
      <c r="J49" s="84"/>
      <c r="K49" s="47"/>
      <c r="L49" s="48"/>
      <c r="M49" s="91"/>
      <c r="N49" s="84"/>
      <c r="O49" s="48"/>
      <c r="P49" s="91"/>
      <c r="Q49" s="84"/>
      <c r="R49" s="48"/>
      <c r="S49" s="91"/>
      <c r="T49" s="190">
        <f>T50+T51</f>
        <v>0</v>
      </c>
      <c r="U49" s="190">
        <f>U50+U51</f>
        <v>0</v>
      </c>
      <c r="V49" s="204">
        <f>V50+V51</f>
        <v>0</v>
      </c>
      <c r="W49" s="290">
        <f>W50+W51</f>
        <v>0</v>
      </c>
      <c r="X49" s="290">
        <f t="shared" ref="X49:Y49" si="61">X50+X51</f>
        <v>0</v>
      </c>
      <c r="Y49" s="291">
        <f t="shared" si="61"/>
        <v>0</v>
      </c>
      <c r="Z49" s="290">
        <f>Z50+Z51</f>
        <v>0</v>
      </c>
      <c r="AA49" s="290">
        <f t="shared" ref="AA49:AB49" si="62">AA50+AA51</f>
        <v>0</v>
      </c>
      <c r="AB49" s="291">
        <f t="shared" si="62"/>
        <v>0</v>
      </c>
      <c r="AC49" s="178"/>
      <c r="AD49" s="112"/>
      <c r="AE49" s="184"/>
      <c r="AF49" s="178"/>
      <c r="AG49" s="2"/>
      <c r="AH49" s="184"/>
    </row>
    <row r="50" spans="1:35" ht="21" customHeight="1" x14ac:dyDescent="0.3">
      <c r="A50" s="59"/>
      <c r="B50" s="26" t="s">
        <v>22</v>
      </c>
      <c r="C50" s="33"/>
      <c r="D50" s="28"/>
      <c r="E50" s="28"/>
      <c r="F50" s="34"/>
      <c r="G50" s="28"/>
      <c r="H50" s="138"/>
      <c r="I50" s="92"/>
      <c r="J50" s="85"/>
      <c r="K50" s="34"/>
      <c r="L50" s="35"/>
      <c r="M50" s="92"/>
      <c r="N50" s="85"/>
      <c r="O50" s="35"/>
      <c r="P50" s="92"/>
      <c r="Q50" s="85"/>
      <c r="R50" s="35"/>
      <c r="S50" s="92"/>
      <c r="T50" s="189"/>
      <c r="U50" s="37"/>
      <c r="V50" s="203"/>
      <c r="W50" s="198"/>
      <c r="X50" s="198"/>
      <c r="Y50" s="216"/>
      <c r="Z50" s="198"/>
      <c r="AA50" s="198"/>
      <c r="AB50" s="216"/>
      <c r="AC50" s="198"/>
      <c r="AD50" s="113"/>
      <c r="AE50" s="216"/>
      <c r="AF50" s="198"/>
      <c r="AG50" s="232"/>
      <c r="AH50" s="216"/>
    </row>
    <row r="51" spans="1:35" ht="21" customHeight="1" x14ac:dyDescent="0.3">
      <c r="A51" s="59"/>
      <c r="B51" s="6" t="s">
        <v>23</v>
      </c>
      <c r="C51" s="46"/>
      <c r="D51" s="14"/>
      <c r="E51" s="14"/>
      <c r="F51" s="47"/>
      <c r="G51" s="14"/>
      <c r="H51" s="140"/>
      <c r="I51" s="91"/>
      <c r="J51" s="84"/>
      <c r="K51" s="47"/>
      <c r="L51" s="48"/>
      <c r="M51" s="91"/>
      <c r="N51" s="84"/>
      <c r="O51" s="48"/>
      <c r="P51" s="91"/>
      <c r="Q51" s="84"/>
      <c r="R51" s="48"/>
      <c r="S51" s="91"/>
      <c r="T51" s="190">
        <f>T52+T53</f>
        <v>0</v>
      </c>
      <c r="U51" s="190">
        <f t="shared" ref="U51:V51" si="63">U52+U53</f>
        <v>0</v>
      </c>
      <c r="V51" s="204">
        <f t="shared" si="63"/>
        <v>0</v>
      </c>
      <c r="W51" s="178">
        <f>W52+W53</f>
        <v>0</v>
      </c>
      <c r="X51" s="178">
        <f t="shared" ref="X51:Y51" si="64">X52+X53</f>
        <v>0</v>
      </c>
      <c r="Y51" s="184">
        <f t="shared" si="64"/>
        <v>0</v>
      </c>
      <c r="Z51" s="178">
        <f>Z52+Z53</f>
        <v>0</v>
      </c>
      <c r="AA51" s="178">
        <f t="shared" ref="AA51:AB51" si="65">AA52+AA53</f>
        <v>0</v>
      </c>
      <c r="AB51" s="184">
        <f t="shared" si="65"/>
        <v>0</v>
      </c>
      <c r="AC51" s="178"/>
      <c r="AD51" s="112"/>
      <c r="AE51" s="184"/>
      <c r="AF51" s="178"/>
      <c r="AG51" s="2"/>
      <c r="AH51" s="184"/>
    </row>
    <row r="52" spans="1:35" ht="21" customHeight="1" x14ac:dyDescent="0.3">
      <c r="A52" s="59"/>
      <c r="B52" s="6" t="s">
        <v>35</v>
      </c>
      <c r="C52" s="46"/>
      <c r="D52" s="14"/>
      <c r="E52" s="14"/>
      <c r="F52" s="47"/>
      <c r="G52" s="14"/>
      <c r="H52" s="140"/>
      <c r="I52" s="91"/>
      <c r="J52" s="84"/>
      <c r="K52" s="47"/>
      <c r="L52" s="48"/>
      <c r="M52" s="91"/>
      <c r="N52" s="84"/>
      <c r="O52" s="48"/>
      <c r="P52" s="91"/>
      <c r="Q52" s="84"/>
      <c r="R52" s="48"/>
      <c r="S52" s="91"/>
      <c r="T52" s="190">
        <f>9570-9570</f>
        <v>0</v>
      </c>
      <c r="U52" s="50"/>
      <c r="V52" s="204">
        <f>T52+U52</f>
        <v>0</v>
      </c>
      <c r="W52" s="178"/>
      <c r="X52" s="178"/>
      <c r="Y52" s="184"/>
      <c r="Z52" s="178"/>
      <c r="AA52" s="178"/>
      <c r="AB52" s="184"/>
      <c r="AC52" s="178"/>
      <c r="AD52" s="112"/>
      <c r="AE52" s="184"/>
      <c r="AF52" s="178"/>
      <c r="AG52" s="2"/>
      <c r="AH52" s="184"/>
    </row>
    <row r="53" spans="1:35" ht="21" customHeight="1" x14ac:dyDescent="0.3">
      <c r="A53" s="59"/>
      <c r="B53" s="6" t="s">
        <v>36</v>
      </c>
      <c r="C53" s="46"/>
      <c r="D53" s="14"/>
      <c r="E53" s="14"/>
      <c r="F53" s="47"/>
      <c r="G53" s="14"/>
      <c r="H53" s="140"/>
      <c r="I53" s="91"/>
      <c r="J53" s="84"/>
      <c r="K53" s="47"/>
      <c r="L53" s="48"/>
      <c r="M53" s="91"/>
      <c r="N53" s="84"/>
      <c r="O53" s="48"/>
      <c r="P53" s="91"/>
      <c r="Q53" s="84"/>
      <c r="R53" s="48"/>
      <c r="S53" s="91"/>
      <c r="T53" s="190"/>
      <c r="U53" s="50"/>
      <c r="V53" s="204"/>
      <c r="W53" s="178">
        <f>446909-446909</f>
        <v>0</v>
      </c>
      <c r="X53" s="178"/>
      <c r="Y53" s="184">
        <f>W53+X53</f>
        <v>0</v>
      </c>
      <c r="Z53" s="178">
        <f>306664-306664</f>
        <v>0</v>
      </c>
      <c r="AA53" s="178"/>
      <c r="AB53" s="184">
        <f>Z53+AA53</f>
        <v>0</v>
      </c>
      <c r="AC53" s="178"/>
      <c r="AD53" s="112"/>
      <c r="AE53" s="184"/>
      <c r="AF53" s="178"/>
      <c r="AG53" s="2"/>
      <c r="AH53" s="184"/>
    </row>
    <row r="54" spans="1:35" ht="77.25" customHeight="1" x14ac:dyDescent="0.3">
      <c r="A54" s="59">
        <v>23</v>
      </c>
      <c r="B54" s="357" t="s">
        <v>32</v>
      </c>
      <c r="C54" s="8" t="s">
        <v>17</v>
      </c>
      <c r="D54" s="17" t="s">
        <v>67</v>
      </c>
      <c r="E54" s="18">
        <v>11.63</v>
      </c>
      <c r="F54" s="18">
        <v>77.25</v>
      </c>
      <c r="G54" s="18">
        <v>7.7249999999999999E-2</v>
      </c>
      <c r="H54" s="141"/>
      <c r="I54" s="109">
        <f>763342.6+12000</f>
        <v>775342.6</v>
      </c>
      <c r="J54" s="44">
        <v>11.63</v>
      </c>
      <c r="K54" s="18">
        <v>77.25</v>
      </c>
      <c r="L54" s="31">
        <f>Q54+T54</f>
        <v>12000</v>
      </c>
      <c r="M54" s="179"/>
      <c r="N54" s="174"/>
      <c r="O54" s="71"/>
      <c r="P54" s="179"/>
      <c r="Q54" s="95">
        <f>Q55+Q56</f>
        <v>0</v>
      </c>
      <c r="R54" s="69"/>
      <c r="S54" s="93">
        <f t="shared" ref="S54" si="66">Q54+R54</f>
        <v>0</v>
      </c>
      <c r="T54" s="95">
        <f>T55+T56</f>
        <v>12000</v>
      </c>
      <c r="U54" s="69">
        <f t="shared" ref="U54:V54" si="67">U55+U56</f>
        <v>0</v>
      </c>
      <c r="V54" s="93">
        <f t="shared" si="67"/>
        <v>12000</v>
      </c>
      <c r="W54" s="95">
        <f>W55+W56</f>
        <v>116790.8</v>
      </c>
      <c r="X54" s="95">
        <f t="shared" ref="X54:Y54" si="68">X55+X56</f>
        <v>0</v>
      </c>
      <c r="Y54" s="93">
        <f t="shared" si="68"/>
        <v>116790.8</v>
      </c>
      <c r="Z54" s="95">
        <f>Z55+Z56</f>
        <v>646551.80000000005</v>
      </c>
      <c r="AA54" s="95">
        <f t="shared" ref="AA54:AB54" si="69">AA55+AA56</f>
        <v>0</v>
      </c>
      <c r="AB54" s="93">
        <f t="shared" si="69"/>
        <v>646551.80000000005</v>
      </c>
      <c r="AC54" s="178"/>
      <c r="AD54" s="112"/>
      <c r="AE54" s="184"/>
      <c r="AF54" s="197"/>
      <c r="AG54" s="231"/>
      <c r="AH54" s="96"/>
      <c r="AI54" s="40">
        <f>I54-M54-P54-S54-V54-Y54-AB54-AE54-AH54</f>
        <v>-1.1641532182693481E-10</v>
      </c>
    </row>
    <row r="55" spans="1:35" ht="21" customHeight="1" x14ac:dyDescent="0.3">
      <c r="A55" s="61"/>
      <c r="B55" s="26" t="s">
        <v>22</v>
      </c>
      <c r="C55" s="27"/>
      <c r="D55" s="29"/>
      <c r="E55" s="30"/>
      <c r="F55" s="30"/>
      <c r="G55" s="30"/>
      <c r="H55" s="142"/>
      <c r="I55" s="110"/>
      <c r="J55" s="62"/>
      <c r="K55" s="30"/>
      <c r="L55" s="30"/>
      <c r="M55" s="181"/>
      <c r="N55" s="175"/>
      <c r="O55" s="36"/>
      <c r="P55" s="181"/>
      <c r="Q55" s="175"/>
      <c r="R55" s="36"/>
      <c r="S55" s="181">
        <f>Q55+R55</f>
        <v>0</v>
      </c>
      <c r="T55" s="189"/>
      <c r="U55" s="37"/>
      <c r="V55" s="203"/>
      <c r="W55" s="189">
        <f>W58</f>
        <v>116790.8</v>
      </c>
      <c r="X55" s="189">
        <f t="shared" ref="X55:Y55" si="70">X58</f>
        <v>0</v>
      </c>
      <c r="Y55" s="203">
        <f t="shared" si="70"/>
        <v>116790.8</v>
      </c>
      <c r="Z55" s="189">
        <f>Z58</f>
        <v>646451.80000000005</v>
      </c>
      <c r="AA55" s="189">
        <f t="shared" ref="AA55:AB55" si="71">AA58</f>
        <v>0</v>
      </c>
      <c r="AB55" s="203">
        <f t="shared" si="71"/>
        <v>646451.80000000005</v>
      </c>
      <c r="AC55" s="198"/>
      <c r="AD55" s="113"/>
      <c r="AE55" s="216"/>
      <c r="AF55" s="198"/>
      <c r="AG55" s="232"/>
      <c r="AH55" s="235"/>
    </row>
    <row r="56" spans="1:35" ht="19.5" customHeight="1" x14ac:dyDescent="0.3">
      <c r="A56" s="61"/>
      <c r="B56" s="6" t="s">
        <v>23</v>
      </c>
      <c r="C56" s="8"/>
      <c r="D56" s="17"/>
      <c r="E56" s="18"/>
      <c r="F56" s="18"/>
      <c r="G56" s="18"/>
      <c r="H56" s="141"/>
      <c r="I56" s="109"/>
      <c r="J56" s="44"/>
      <c r="K56" s="18"/>
      <c r="L56" s="18"/>
      <c r="M56" s="179"/>
      <c r="N56" s="174"/>
      <c r="O56" s="71"/>
      <c r="P56" s="179"/>
      <c r="Q56" s="95"/>
      <c r="R56" s="69"/>
      <c r="S56" s="93">
        <f>Q56+R56</f>
        <v>0</v>
      </c>
      <c r="T56" s="95">
        <v>12000</v>
      </c>
      <c r="U56" s="69"/>
      <c r="V56" s="93">
        <f>T56+U56</f>
        <v>12000</v>
      </c>
      <c r="W56" s="178"/>
      <c r="X56" s="112"/>
      <c r="Y56" s="184"/>
      <c r="Z56" s="178">
        <f>Z57</f>
        <v>100</v>
      </c>
      <c r="AA56" s="178">
        <f t="shared" ref="AA56:AB56" si="72">AA57</f>
        <v>0</v>
      </c>
      <c r="AB56" s="184">
        <f t="shared" si="72"/>
        <v>100</v>
      </c>
      <c r="AC56" s="178"/>
      <c r="AD56" s="112"/>
      <c r="AE56" s="184"/>
      <c r="AF56" s="178"/>
      <c r="AG56" s="2"/>
      <c r="AH56" s="96"/>
    </row>
    <row r="57" spans="1:35" ht="19.5" customHeight="1" x14ac:dyDescent="0.3">
      <c r="A57" s="61"/>
      <c r="B57" s="6" t="s">
        <v>35</v>
      </c>
      <c r="C57" s="8"/>
      <c r="D57" s="17"/>
      <c r="E57" s="18"/>
      <c r="F57" s="44"/>
      <c r="G57" s="18"/>
      <c r="H57" s="141"/>
      <c r="I57" s="109"/>
      <c r="J57" s="44"/>
      <c r="K57" s="18"/>
      <c r="L57" s="18"/>
      <c r="M57" s="179"/>
      <c r="N57" s="174"/>
      <c r="O57" s="71"/>
      <c r="P57" s="179"/>
      <c r="Q57" s="95"/>
      <c r="R57" s="69"/>
      <c r="S57" s="93"/>
      <c r="T57" s="95">
        <v>12000</v>
      </c>
      <c r="U57" s="69"/>
      <c r="V57" s="93">
        <f>T57+U57</f>
        <v>12000</v>
      </c>
      <c r="W57" s="178"/>
      <c r="X57" s="112"/>
      <c r="Y57" s="184"/>
      <c r="Z57" s="178">
        <v>100</v>
      </c>
      <c r="AA57" s="112"/>
      <c r="AB57" s="184">
        <f>Z57+AA57</f>
        <v>100</v>
      </c>
      <c r="AC57" s="178"/>
      <c r="AD57" s="112"/>
      <c r="AE57" s="184"/>
      <c r="AF57" s="178"/>
      <c r="AG57" s="2"/>
      <c r="AH57" s="96"/>
    </row>
    <row r="58" spans="1:35" ht="19.5" customHeight="1" x14ac:dyDescent="0.3">
      <c r="A58" s="61"/>
      <c r="B58" s="6" t="s">
        <v>36</v>
      </c>
      <c r="C58" s="8"/>
      <c r="D58" s="17"/>
      <c r="E58" s="18"/>
      <c r="F58" s="44"/>
      <c r="G58" s="18"/>
      <c r="H58" s="141"/>
      <c r="I58" s="109"/>
      <c r="J58" s="44"/>
      <c r="K58" s="18"/>
      <c r="L58" s="18"/>
      <c r="M58" s="179"/>
      <c r="N58" s="174"/>
      <c r="O58" s="71"/>
      <c r="P58" s="179"/>
      <c r="Q58" s="95"/>
      <c r="R58" s="69"/>
      <c r="S58" s="93"/>
      <c r="T58" s="95"/>
      <c r="U58" s="69"/>
      <c r="V58" s="93"/>
      <c r="W58" s="178">
        <v>116790.8</v>
      </c>
      <c r="X58" s="112"/>
      <c r="Y58" s="184">
        <f>W58+X58</f>
        <v>116790.8</v>
      </c>
      <c r="Z58" s="178">
        <v>646451.80000000005</v>
      </c>
      <c r="AA58" s="112"/>
      <c r="AB58" s="184">
        <f>Z58+AA58</f>
        <v>646451.80000000005</v>
      </c>
      <c r="AC58" s="178"/>
      <c r="AD58" s="112"/>
      <c r="AE58" s="184"/>
      <c r="AF58" s="178"/>
      <c r="AG58" s="2"/>
      <c r="AH58" s="96"/>
    </row>
    <row r="59" spans="1:35" ht="110.25" customHeight="1" x14ac:dyDescent="0.3">
      <c r="A59" s="59">
        <v>31</v>
      </c>
      <c r="B59" s="357" t="s">
        <v>97</v>
      </c>
      <c r="C59" s="13" t="s">
        <v>16</v>
      </c>
      <c r="D59" s="7">
        <v>2022</v>
      </c>
      <c r="E59" s="7">
        <v>26.16</v>
      </c>
      <c r="F59" s="12"/>
      <c r="G59" s="7"/>
      <c r="H59" s="137"/>
      <c r="I59" s="304">
        <v>758640</v>
      </c>
      <c r="J59" s="12"/>
      <c r="K59" s="18"/>
      <c r="L59" s="7"/>
      <c r="M59" s="179"/>
      <c r="N59" s="174"/>
      <c r="O59" s="71"/>
      <c r="P59" s="179"/>
      <c r="Q59" s="48">
        <f>Q61+Q60</f>
        <v>19550.399999999954</v>
      </c>
      <c r="R59" s="48">
        <f>R61+R60</f>
        <v>0</v>
      </c>
      <c r="S59" s="91">
        <f t="shared" ref="S59:S63" si="73">Q59+R59</f>
        <v>19550.399999999954</v>
      </c>
      <c r="T59" s="95">
        <f>T60+T61</f>
        <v>89089.600000000006</v>
      </c>
      <c r="U59" s="95">
        <f t="shared" ref="U59:V59" si="74">U60+U61</f>
        <v>0</v>
      </c>
      <c r="V59" s="310">
        <f t="shared" si="74"/>
        <v>89089.600000000006</v>
      </c>
      <c r="W59" s="197">
        <f>W60+W61</f>
        <v>650000</v>
      </c>
      <c r="X59" s="197">
        <f t="shared" ref="X59:Y59" si="75">X60+X61</f>
        <v>0</v>
      </c>
      <c r="Y59" s="197">
        <f t="shared" si="75"/>
        <v>650000</v>
      </c>
      <c r="Z59" s="197">
        <f t="shared" ref="Z59:AF59" si="76">Z61</f>
        <v>0</v>
      </c>
      <c r="AA59" s="111"/>
      <c r="AB59" s="215"/>
      <c r="AC59" s="197">
        <f t="shared" si="76"/>
        <v>0</v>
      </c>
      <c r="AD59" s="111"/>
      <c r="AE59" s="215"/>
      <c r="AF59" s="197">
        <f t="shared" si="76"/>
        <v>0</v>
      </c>
      <c r="AG59" s="111"/>
      <c r="AH59" s="96"/>
      <c r="AI59" s="305">
        <f>I59-S59-V59-Y59-AB59</f>
        <v>1.1641532182693481E-10</v>
      </c>
    </row>
    <row r="60" spans="1:35" ht="21" customHeight="1" x14ac:dyDescent="0.3">
      <c r="A60" s="59"/>
      <c r="B60" s="26" t="s">
        <v>22</v>
      </c>
      <c r="C60" s="33"/>
      <c r="D60" s="28"/>
      <c r="E60" s="28"/>
      <c r="F60" s="34"/>
      <c r="G60" s="28"/>
      <c r="H60" s="138"/>
      <c r="I60" s="165"/>
      <c r="J60" s="34"/>
      <c r="K60" s="62"/>
      <c r="L60" s="28"/>
      <c r="M60" s="181"/>
      <c r="N60" s="175"/>
      <c r="O60" s="36"/>
      <c r="P60" s="181"/>
      <c r="Q60" s="85">
        <f>Q63</f>
        <v>8611.1999999999534</v>
      </c>
      <c r="R60" s="35">
        <v>0</v>
      </c>
      <c r="S60" s="92">
        <f>Q60+R60</f>
        <v>8611.1999999999534</v>
      </c>
      <c r="T60" s="35">
        <f>T63</f>
        <v>89089.600000000006</v>
      </c>
      <c r="U60" s="35">
        <f>U63</f>
        <v>0</v>
      </c>
      <c r="V60" s="92">
        <f>V63</f>
        <v>89089.600000000006</v>
      </c>
      <c r="W60" s="189">
        <v>650000</v>
      </c>
      <c r="X60" s="37"/>
      <c r="Y60" s="203">
        <f>W60+X60</f>
        <v>650000</v>
      </c>
      <c r="Z60" s="189"/>
      <c r="AA60" s="37"/>
      <c r="AB60" s="203"/>
      <c r="AC60" s="189"/>
      <c r="AD60" s="37"/>
      <c r="AE60" s="203"/>
      <c r="AF60" s="189"/>
      <c r="AG60" s="189"/>
      <c r="AH60" s="203"/>
    </row>
    <row r="61" spans="1:35" ht="21.75" customHeight="1" x14ac:dyDescent="0.3">
      <c r="A61" s="59"/>
      <c r="B61" s="6" t="s">
        <v>23</v>
      </c>
      <c r="C61" s="13"/>
      <c r="D61" s="7"/>
      <c r="E61" s="7"/>
      <c r="F61" s="12"/>
      <c r="G61" s="7"/>
      <c r="H61" s="137"/>
      <c r="I61" s="105"/>
      <c r="J61" s="12"/>
      <c r="K61" s="44"/>
      <c r="L61" s="7"/>
      <c r="M61" s="179"/>
      <c r="N61" s="174"/>
      <c r="O61" s="71"/>
      <c r="P61" s="179"/>
      <c r="Q61" s="69">
        <f>Q62</f>
        <v>10939.2</v>
      </c>
      <c r="R61" s="69"/>
      <c r="S61" s="91">
        <f>S62</f>
        <v>10939.2</v>
      </c>
      <c r="T61" s="95"/>
      <c r="U61" s="69"/>
      <c r="V61" s="93"/>
      <c r="W61" s="178"/>
      <c r="X61" s="112"/>
      <c r="Y61" s="184"/>
      <c r="Z61" s="178"/>
      <c r="AA61" s="112"/>
      <c r="AB61" s="184"/>
      <c r="AC61" s="178"/>
      <c r="AD61" s="112"/>
      <c r="AE61" s="184"/>
      <c r="AF61" s="178"/>
      <c r="AG61" s="2"/>
      <c r="AH61" s="96"/>
    </row>
    <row r="62" spans="1:35" ht="19.5" customHeight="1" x14ac:dyDescent="0.3">
      <c r="A62" s="59"/>
      <c r="B62" s="6" t="s">
        <v>35</v>
      </c>
      <c r="C62" s="13"/>
      <c r="D62" s="7"/>
      <c r="E62" s="7"/>
      <c r="F62" s="12"/>
      <c r="G62" s="7"/>
      <c r="H62" s="137"/>
      <c r="I62" s="105"/>
      <c r="J62" s="12"/>
      <c r="K62" s="44"/>
      <c r="L62" s="7"/>
      <c r="M62" s="179"/>
      <c r="N62" s="174"/>
      <c r="O62" s="71"/>
      <c r="P62" s="179"/>
      <c r="Q62" s="69">
        <v>10939.2</v>
      </c>
      <c r="R62" s="69"/>
      <c r="S62" s="93">
        <f t="shared" si="73"/>
        <v>10939.2</v>
      </c>
      <c r="T62" s="95"/>
      <c r="U62" s="69"/>
      <c r="V62" s="93"/>
      <c r="W62" s="197"/>
      <c r="X62" s="111"/>
      <c r="Y62" s="215"/>
      <c r="Z62" s="178"/>
      <c r="AA62" s="112"/>
      <c r="AB62" s="184"/>
      <c r="AC62" s="178"/>
      <c r="AD62" s="112"/>
      <c r="AE62" s="184"/>
      <c r="AF62" s="178"/>
      <c r="AG62" s="2"/>
      <c r="AH62" s="96"/>
    </row>
    <row r="63" spans="1:35" ht="18.75" customHeight="1" x14ac:dyDescent="0.3">
      <c r="A63" s="59"/>
      <c r="B63" s="6" t="s">
        <v>36</v>
      </c>
      <c r="C63" s="13"/>
      <c r="D63" s="7"/>
      <c r="E63" s="7"/>
      <c r="F63" s="12"/>
      <c r="G63" s="7"/>
      <c r="H63" s="137"/>
      <c r="I63" s="105"/>
      <c r="J63" s="12"/>
      <c r="K63" s="44"/>
      <c r="L63" s="7"/>
      <c r="M63" s="179"/>
      <c r="N63" s="174"/>
      <c r="O63" s="71"/>
      <c r="P63" s="179"/>
      <c r="Q63" s="69">
        <f>478641.6+179969.6-650000</f>
        <v>8611.1999999999534</v>
      </c>
      <c r="R63" s="69"/>
      <c r="S63" s="93">
        <f t="shared" si="73"/>
        <v>8611.1999999999534</v>
      </c>
      <c r="T63" s="69">
        <f>269059.2-179969.6</f>
        <v>89089.600000000006</v>
      </c>
      <c r="U63" s="69"/>
      <c r="V63" s="93">
        <f>T63+U63</f>
        <v>89089.600000000006</v>
      </c>
      <c r="W63" s="190"/>
      <c r="X63" s="50">
        <v>650000</v>
      </c>
      <c r="Y63" s="204">
        <f>W63+X63</f>
        <v>650000</v>
      </c>
      <c r="Z63" s="178"/>
      <c r="AA63" s="112"/>
      <c r="AB63" s="184"/>
      <c r="AC63" s="178"/>
      <c r="AD63" s="112"/>
      <c r="AE63" s="184"/>
      <c r="AF63" s="178"/>
      <c r="AG63" s="2"/>
      <c r="AH63" s="96"/>
    </row>
    <row r="64" spans="1:35" ht="105" customHeight="1" x14ac:dyDescent="0.3">
      <c r="A64" s="59"/>
      <c r="B64" s="361" t="s">
        <v>98</v>
      </c>
      <c r="C64" s="13" t="s">
        <v>16</v>
      </c>
      <c r="D64" s="7">
        <v>2026</v>
      </c>
      <c r="E64" s="173">
        <v>16</v>
      </c>
      <c r="F64" s="12"/>
      <c r="G64" s="7"/>
      <c r="H64" s="137"/>
      <c r="I64" s="93">
        <v>464000</v>
      </c>
      <c r="J64" s="12"/>
      <c r="K64" s="44"/>
      <c r="L64" s="7"/>
      <c r="M64" s="179"/>
      <c r="N64" s="174"/>
      <c r="O64" s="71"/>
      <c r="P64" s="179"/>
      <c r="Q64" s="95">
        <f>Q65+Q66</f>
        <v>0</v>
      </c>
      <c r="R64" s="69">
        <f>R65+R66</f>
        <v>0</v>
      </c>
      <c r="S64" s="93">
        <f>S65+S66</f>
        <v>0</v>
      </c>
      <c r="T64" s="95"/>
      <c r="U64" s="69"/>
      <c r="V64" s="93"/>
      <c r="W64" s="190">
        <f>W65+W66</f>
        <v>0</v>
      </c>
      <c r="X64" s="190">
        <f t="shared" ref="X64:Y64" si="77">X65+X66</f>
        <v>0</v>
      </c>
      <c r="Y64" s="312">
        <f t="shared" si="77"/>
        <v>0</v>
      </c>
      <c r="Z64" s="197">
        <f>Z65+Z66</f>
        <v>10716.9</v>
      </c>
      <c r="AA64" s="197">
        <f t="shared" ref="AA64:AB64" si="78">AA65+AA66</f>
        <v>0</v>
      </c>
      <c r="AB64" s="313">
        <f t="shared" si="78"/>
        <v>10716.9</v>
      </c>
      <c r="AC64" s="197">
        <f>AC65+AC66</f>
        <v>250000</v>
      </c>
      <c r="AD64" s="197">
        <f t="shared" ref="AD64:AE64" si="79">AD65+AD66</f>
        <v>0</v>
      </c>
      <c r="AE64" s="313">
        <f t="shared" si="79"/>
        <v>250000</v>
      </c>
      <c r="AF64" s="197">
        <f>AF65+AF66</f>
        <v>203283.1</v>
      </c>
      <c r="AG64" s="197">
        <f t="shared" ref="AG64:AH64" si="80">AG65+AG66</f>
        <v>0</v>
      </c>
      <c r="AH64" s="197">
        <f t="shared" si="80"/>
        <v>203283.1</v>
      </c>
      <c r="AI64" s="305">
        <f>I64-S64-Y64-AB64-AE64-AH64</f>
        <v>0</v>
      </c>
    </row>
    <row r="65" spans="1:35" ht="18.75" customHeight="1" x14ac:dyDescent="0.3">
      <c r="A65" s="59"/>
      <c r="B65" s="26" t="s">
        <v>22</v>
      </c>
      <c r="C65" s="33"/>
      <c r="D65" s="28"/>
      <c r="E65" s="28"/>
      <c r="F65" s="34"/>
      <c r="G65" s="28"/>
      <c r="H65" s="138"/>
      <c r="I65" s="165"/>
      <c r="J65" s="34"/>
      <c r="K65" s="62"/>
      <c r="L65" s="28"/>
      <c r="M65" s="181"/>
      <c r="N65" s="175"/>
      <c r="O65" s="36"/>
      <c r="P65" s="181"/>
      <c r="Q65" s="85"/>
      <c r="R65" s="35"/>
      <c r="S65" s="92"/>
      <c r="T65" s="85"/>
      <c r="U65" s="35"/>
      <c r="V65" s="92"/>
      <c r="W65" s="189"/>
      <c r="X65" s="37"/>
      <c r="Y65" s="203"/>
      <c r="Z65" s="198">
        <f>Z68</f>
        <v>0</v>
      </c>
      <c r="AA65" s="198">
        <f t="shared" ref="AA65:AB65" si="81">AA68</f>
        <v>0</v>
      </c>
      <c r="AB65" s="314">
        <f t="shared" si="81"/>
        <v>0</v>
      </c>
      <c r="AC65" s="198">
        <f>AC68</f>
        <v>250000</v>
      </c>
      <c r="AD65" s="198">
        <f t="shared" ref="AD65:AE65" si="82">AD68</f>
        <v>0</v>
      </c>
      <c r="AE65" s="314">
        <f t="shared" si="82"/>
        <v>250000</v>
      </c>
      <c r="AF65" s="198">
        <f>AF68</f>
        <v>203283.1</v>
      </c>
      <c r="AG65" s="198">
        <f t="shared" ref="AG65:AH65" si="83">AG68</f>
        <v>0</v>
      </c>
      <c r="AH65" s="198">
        <f t="shared" si="83"/>
        <v>203283.1</v>
      </c>
    </row>
    <row r="66" spans="1:35" ht="18.75" customHeight="1" x14ac:dyDescent="0.3">
      <c r="A66" s="59"/>
      <c r="B66" s="6" t="s">
        <v>23</v>
      </c>
      <c r="C66" s="13"/>
      <c r="D66" s="7"/>
      <c r="E66" s="7"/>
      <c r="F66" s="12"/>
      <c r="G66" s="7"/>
      <c r="H66" s="137"/>
      <c r="I66" s="105"/>
      <c r="J66" s="12"/>
      <c r="K66" s="44"/>
      <c r="L66" s="7"/>
      <c r="M66" s="179"/>
      <c r="N66" s="174"/>
      <c r="O66" s="71"/>
      <c r="P66" s="179"/>
      <c r="Q66" s="95">
        <f>Q67+Q68</f>
        <v>0</v>
      </c>
      <c r="R66" s="69">
        <f t="shared" ref="R66:S66" si="84">R67+R68</f>
        <v>0</v>
      </c>
      <c r="S66" s="91">
        <f t="shared" si="84"/>
        <v>0</v>
      </c>
      <c r="T66" s="95"/>
      <c r="U66" s="69"/>
      <c r="V66" s="93"/>
      <c r="W66" s="190">
        <f>W67</f>
        <v>0</v>
      </c>
      <c r="X66" s="190">
        <f t="shared" ref="X66:Y66" si="85">X67</f>
        <v>0</v>
      </c>
      <c r="Y66" s="312">
        <f t="shared" si="85"/>
        <v>0</v>
      </c>
      <c r="Z66" s="112">
        <f>Z67</f>
        <v>10716.9</v>
      </c>
      <c r="AA66" s="112">
        <f>AA67</f>
        <v>0</v>
      </c>
      <c r="AB66" s="112">
        <f>AB67</f>
        <v>10716.9</v>
      </c>
      <c r="AC66" s="178"/>
      <c r="AD66" s="112"/>
      <c r="AE66" s="184"/>
      <c r="AF66" s="178"/>
      <c r="AG66" s="2"/>
      <c r="AH66" s="96"/>
    </row>
    <row r="67" spans="1:35" ht="18.75" customHeight="1" x14ac:dyDescent="0.3">
      <c r="A67" s="59"/>
      <c r="B67" s="6" t="s">
        <v>35</v>
      </c>
      <c r="C67" s="13"/>
      <c r="D67" s="7"/>
      <c r="E67" s="7"/>
      <c r="F67" s="12"/>
      <c r="G67" s="7"/>
      <c r="H67" s="137"/>
      <c r="I67" s="105"/>
      <c r="J67" s="12"/>
      <c r="K67" s="44"/>
      <c r="L67" s="7"/>
      <c r="M67" s="179"/>
      <c r="N67" s="174"/>
      <c r="O67" s="71"/>
      <c r="P67" s="179"/>
      <c r="Q67" s="95"/>
      <c r="R67" s="69"/>
      <c r="S67" s="93">
        <f>Q67+R67</f>
        <v>0</v>
      </c>
      <c r="T67" s="95"/>
      <c r="U67" s="69"/>
      <c r="V67" s="93"/>
      <c r="W67" s="190">
        <f>10716.9-10716.9</f>
        <v>0</v>
      </c>
      <c r="X67" s="299"/>
      <c r="Y67" s="204">
        <f>W67+X67</f>
        <v>0</v>
      </c>
      <c r="Z67" s="112">
        <v>10716.9</v>
      </c>
      <c r="AA67" s="112"/>
      <c r="AB67" s="184">
        <f>Z67+AA67</f>
        <v>10716.9</v>
      </c>
      <c r="AC67" s="178"/>
      <c r="AD67" s="112"/>
      <c r="AE67" s="184"/>
      <c r="AF67" s="178"/>
      <c r="AG67" s="2"/>
      <c r="AH67" s="96"/>
    </row>
    <row r="68" spans="1:35" ht="18.75" customHeight="1" x14ac:dyDescent="0.3">
      <c r="A68" s="59"/>
      <c r="B68" s="6" t="s">
        <v>36</v>
      </c>
      <c r="C68" s="13"/>
      <c r="D68" s="7"/>
      <c r="E68" s="7"/>
      <c r="F68" s="12"/>
      <c r="G68" s="7"/>
      <c r="H68" s="137"/>
      <c r="I68" s="105"/>
      <c r="J68" s="12"/>
      <c r="K68" s="44"/>
      <c r="L68" s="7"/>
      <c r="M68" s="179"/>
      <c r="N68" s="174"/>
      <c r="O68" s="71"/>
      <c r="P68" s="179"/>
      <c r="Q68" s="95"/>
      <c r="R68" s="69"/>
      <c r="S68" s="93"/>
      <c r="T68" s="95"/>
      <c r="U68" s="69"/>
      <c r="V68" s="93"/>
      <c r="W68" s="190"/>
      <c r="X68" s="50"/>
      <c r="Y68" s="204"/>
      <c r="Z68" s="178">
        <f>250000-250000</f>
        <v>0</v>
      </c>
      <c r="AA68" s="112"/>
      <c r="AB68" s="184">
        <f>Z68+AA68</f>
        <v>0</v>
      </c>
      <c r="AC68" s="178">
        <f>203283.1+46716.9</f>
        <v>250000</v>
      </c>
      <c r="AD68" s="112"/>
      <c r="AE68" s="184">
        <f>AC68+AD68</f>
        <v>250000</v>
      </c>
      <c r="AF68" s="2">
        <v>203283.1</v>
      </c>
      <c r="AG68" s="2"/>
      <c r="AH68" s="184">
        <f>AF68+AG68</f>
        <v>203283.1</v>
      </c>
    </row>
    <row r="69" spans="1:35" ht="108.75" customHeight="1" x14ac:dyDescent="0.3">
      <c r="A69" s="59"/>
      <c r="B69" s="361" t="s">
        <v>99</v>
      </c>
      <c r="C69" s="13" t="s">
        <v>16</v>
      </c>
      <c r="D69" s="7">
        <v>2026</v>
      </c>
      <c r="E69" s="7">
        <v>20.2</v>
      </c>
      <c r="F69" s="12"/>
      <c r="G69" s="7"/>
      <c r="H69" s="137"/>
      <c r="I69" s="93">
        <v>658120</v>
      </c>
      <c r="J69" s="12"/>
      <c r="K69" s="44"/>
      <c r="L69" s="7"/>
      <c r="M69" s="179"/>
      <c r="N69" s="174"/>
      <c r="O69" s="71"/>
      <c r="P69" s="179"/>
      <c r="Q69" s="95"/>
      <c r="R69" s="69"/>
      <c r="S69" s="93"/>
      <c r="T69" s="95"/>
      <c r="U69" s="69"/>
      <c r="V69" s="93"/>
      <c r="W69" s="252">
        <f>W70+W71</f>
        <v>0</v>
      </c>
      <c r="X69" s="252">
        <f t="shared" ref="X69:Y69" si="86">X70+X71</f>
        <v>0</v>
      </c>
      <c r="Y69" s="256">
        <f t="shared" si="86"/>
        <v>0</v>
      </c>
      <c r="Z69" s="197">
        <f>Z70+Z71</f>
        <v>18010.5</v>
      </c>
      <c r="AA69" s="197">
        <f t="shared" ref="AA69:AB69" si="87">AA70+AA71</f>
        <v>0</v>
      </c>
      <c r="AB69" s="313">
        <f t="shared" si="87"/>
        <v>18010.5</v>
      </c>
      <c r="AC69" s="197">
        <f>AC70+AC71</f>
        <v>320000</v>
      </c>
      <c r="AD69" s="197">
        <f t="shared" ref="AD69:AE69" si="88">AD70+AD71</f>
        <v>0</v>
      </c>
      <c r="AE69" s="313">
        <f t="shared" si="88"/>
        <v>320000</v>
      </c>
      <c r="AF69" s="197">
        <f>AF70+AF71</f>
        <v>320109.5</v>
      </c>
      <c r="AG69" s="197">
        <f t="shared" ref="AG69:AH69" si="89">AG70+AG71</f>
        <v>0</v>
      </c>
      <c r="AH69" s="197">
        <f t="shared" si="89"/>
        <v>320109.5</v>
      </c>
      <c r="AI69" s="305">
        <f>I69-Y69-AB69-AE69-AH69</f>
        <v>0</v>
      </c>
    </row>
    <row r="70" spans="1:35" ht="18.75" customHeight="1" x14ac:dyDescent="0.3">
      <c r="A70" s="59"/>
      <c r="B70" s="26" t="s">
        <v>22</v>
      </c>
      <c r="C70" s="33"/>
      <c r="D70" s="28"/>
      <c r="E70" s="28"/>
      <c r="F70" s="34"/>
      <c r="G70" s="28"/>
      <c r="H70" s="138"/>
      <c r="I70" s="165"/>
      <c r="J70" s="34"/>
      <c r="K70" s="62"/>
      <c r="L70" s="28"/>
      <c r="M70" s="181"/>
      <c r="N70" s="175"/>
      <c r="O70" s="36"/>
      <c r="P70" s="181"/>
      <c r="Q70" s="85"/>
      <c r="R70" s="35"/>
      <c r="S70" s="92"/>
      <c r="T70" s="85"/>
      <c r="U70" s="35"/>
      <c r="V70" s="92"/>
      <c r="W70" s="253"/>
      <c r="X70" s="254"/>
      <c r="Y70" s="255"/>
      <c r="Z70" s="198">
        <f>Z73</f>
        <v>0</v>
      </c>
      <c r="AA70" s="198">
        <f t="shared" ref="AA70:AE70" si="90">AA73</f>
        <v>0</v>
      </c>
      <c r="AB70" s="314">
        <f t="shared" si="90"/>
        <v>0</v>
      </c>
      <c r="AC70" s="198">
        <f>AC73</f>
        <v>320000</v>
      </c>
      <c r="AD70" s="198">
        <f t="shared" si="90"/>
        <v>0</v>
      </c>
      <c r="AE70" s="314">
        <f t="shared" si="90"/>
        <v>320000</v>
      </c>
      <c r="AF70" s="198">
        <f>AF73</f>
        <v>320109.5</v>
      </c>
      <c r="AG70" s="198">
        <f t="shared" ref="AG70:AH70" si="91">AG73</f>
        <v>0</v>
      </c>
      <c r="AH70" s="198">
        <f t="shared" si="91"/>
        <v>320109.5</v>
      </c>
    </row>
    <row r="71" spans="1:35" ht="18.75" customHeight="1" x14ac:dyDescent="0.3">
      <c r="A71" s="59"/>
      <c r="B71" s="6" t="s">
        <v>23</v>
      </c>
      <c r="C71" s="13"/>
      <c r="D71" s="7"/>
      <c r="E71" s="7"/>
      <c r="F71" s="12"/>
      <c r="G71" s="7"/>
      <c r="H71" s="137"/>
      <c r="I71" s="105"/>
      <c r="J71" s="12"/>
      <c r="K71" s="44"/>
      <c r="L71" s="7"/>
      <c r="M71" s="179"/>
      <c r="N71" s="174"/>
      <c r="O71" s="71"/>
      <c r="P71" s="179"/>
      <c r="Q71" s="95"/>
      <c r="R71" s="69"/>
      <c r="S71" s="93"/>
      <c r="T71" s="95"/>
      <c r="U71" s="69"/>
      <c r="V71" s="93"/>
      <c r="W71" s="252">
        <f>W72+W73</f>
        <v>0</v>
      </c>
      <c r="X71" s="252">
        <f t="shared" ref="X71:Y71" si="92">X72+X73</f>
        <v>0</v>
      </c>
      <c r="Y71" s="256">
        <f t="shared" si="92"/>
        <v>0</v>
      </c>
      <c r="Z71" s="112">
        <f>Z72</f>
        <v>18010.5</v>
      </c>
      <c r="AA71" s="112">
        <f>AA72</f>
        <v>0</v>
      </c>
      <c r="AB71" s="112">
        <f>AB72</f>
        <v>18010.5</v>
      </c>
      <c r="AC71" s="178"/>
      <c r="AD71" s="112"/>
      <c r="AE71" s="184"/>
      <c r="AF71" s="178"/>
      <c r="AG71" s="2"/>
      <c r="AH71" s="96"/>
    </row>
    <row r="72" spans="1:35" ht="18.75" customHeight="1" x14ac:dyDescent="0.3">
      <c r="A72" s="59"/>
      <c r="B72" s="6" t="s">
        <v>35</v>
      </c>
      <c r="C72" s="13"/>
      <c r="D72" s="7"/>
      <c r="E72" s="7"/>
      <c r="F72" s="12"/>
      <c r="G72" s="7"/>
      <c r="H72" s="137"/>
      <c r="I72" s="105"/>
      <c r="J72" s="12"/>
      <c r="K72" s="44"/>
      <c r="L72" s="7"/>
      <c r="M72" s="179"/>
      <c r="N72" s="174"/>
      <c r="O72" s="71"/>
      <c r="P72" s="179"/>
      <c r="Q72" s="95"/>
      <c r="R72" s="69"/>
      <c r="S72" s="93"/>
      <c r="T72" s="95"/>
      <c r="U72" s="69"/>
      <c r="V72" s="93"/>
      <c r="W72" s="252">
        <f>18010.5-18010.5</f>
        <v>0</v>
      </c>
      <c r="X72" s="252"/>
      <c r="Y72" s="256">
        <f>W72+X72</f>
        <v>0</v>
      </c>
      <c r="Z72" s="112">
        <v>18010.5</v>
      </c>
      <c r="AA72" s="112"/>
      <c r="AB72" s="184">
        <f>Z72+AA72</f>
        <v>18010.5</v>
      </c>
      <c r="AC72" s="178"/>
      <c r="AD72" s="112"/>
      <c r="AE72" s="184"/>
      <c r="AF72" s="178"/>
      <c r="AG72" s="2"/>
      <c r="AH72" s="96"/>
    </row>
    <row r="73" spans="1:35" ht="18.75" customHeight="1" x14ac:dyDescent="0.3">
      <c r="A73" s="59"/>
      <c r="B73" s="6" t="s">
        <v>36</v>
      </c>
      <c r="C73" s="13"/>
      <c r="D73" s="7"/>
      <c r="E73" s="7"/>
      <c r="F73" s="12"/>
      <c r="G73" s="7"/>
      <c r="H73" s="137"/>
      <c r="I73" s="105"/>
      <c r="J73" s="12"/>
      <c r="K73" s="44"/>
      <c r="L73" s="7"/>
      <c r="M73" s="179"/>
      <c r="N73" s="174"/>
      <c r="O73" s="71"/>
      <c r="P73" s="179"/>
      <c r="Q73" s="95"/>
      <c r="R73" s="69"/>
      <c r="S73" s="93"/>
      <c r="T73" s="95"/>
      <c r="U73" s="69"/>
      <c r="V73" s="93"/>
      <c r="W73" s="252"/>
      <c r="X73" s="257"/>
      <c r="Y73" s="256"/>
      <c r="Z73" s="112">
        <f>320000-320000</f>
        <v>0</v>
      </c>
      <c r="AA73" s="112"/>
      <c r="AB73" s="184">
        <f>Z73+AA73</f>
        <v>0</v>
      </c>
      <c r="AC73" s="112">
        <f>320109.5-109.5</f>
        <v>320000</v>
      </c>
      <c r="AD73" s="112"/>
      <c r="AE73" s="184">
        <f>AC73+AD73</f>
        <v>320000</v>
      </c>
      <c r="AF73" s="2">
        <v>320109.5</v>
      </c>
      <c r="AG73" s="2"/>
      <c r="AH73" s="184">
        <f>AF73+AG73</f>
        <v>320109.5</v>
      </c>
    </row>
    <row r="74" spans="1:35" ht="154.5" customHeight="1" x14ac:dyDescent="0.3">
      <c r="A74" s="384">
        <v>24</v>
      </c>
      <c r="B74" s="357" t="s">
        <v>68</v>
      </c>
      <c r="C74" s="64"/>
      <c r="D74" s="65" t="s">
        <v>48</v>
      </c>
      <c r="E74" s="65">
        <v>2.35</v>
      </c>
      <c r="F74" s="66"/>
      <c r="G74" s="65"/>
      <c r="H74" s="143"/>
      <c r="I74" s="123">
        <v>600930.19999999995</v>
      </c>
      <c r="J74" s="66"/>
      <c r="K74" s="67"/>
      <c r="L74" s="65"/>
      <c r="M74" s="182">
        <f t="shared" ref="M74:AB74" si="93">M75+M76</f>
        <v>0</v>
      </c>
      <c r="N74" s="176">
        <f t="shared" si="93"/>
        <v>0</v>
      </c>
      <c r="O74" s="73">
        <f t="shared" si="93"/>
        <v>0</v>
      </c>
      <c r="P74" s="182">
        <f t="shared" si="93"/>
        <v>0</v>
      </c>
      <c r="Q74" s="176">
        <f t="shared" si="93"/>
        <v>4755.7</v>
      </c>
      <c r="R74" s="73">
        <f t="shared" si="93"/>
        <v>0</v>
      </c>
      <c r="S74" s="182">
        <f>Q74+R74</f>
        <v>4755.7</v>
      </c>
      <c r="T74" s="176">
        <f t="shared" si="93"/>
        <v>12485.300000000001</v>
      </c>
      <c r="U74" s="73">
        <f t="shared" si="93"/>
        <v>0</v>
      </c>
      <c r="V74" s="182">
        <f t="shared" si="93"/>
        <v>12485.300000000001</v>
      </c>
      <c r="W74" s="176">
        <f t="shared" si="93"/>
        <v>293670.5</v>
      </c>
      <c r="X74" s="176">
        <f t="shared" si="93"/>
        <v>0</v>
      </c>
      <c r="Y74" s="182">
        <f t="shared" si="93"/>
        <v>293670.5</v>
      </c>
      <c r="Z74" s="176">
        <f t="shared" si="93"/>
        <v>290018.7</v>
      </c>
      <c r="AA74" s="176">
        <f t="shared" si="93"/>
        <v>0</v>
      </c>
      <c r="AB74" s="182">
        <f t="shared" si="93"/>
        <v>290018.7</v>
      </c>
      <c r="AC74" s="221"/>
      <c r="AD74" s="116"/>
      <c r="AE74" s="229"/>
      <c r="AF74" s="258"/>
      <c r="AG74" s="259"/>
      <c r="AH74" s="260"/>
      <c r="AI74" s="40">
        <f>I74-M74-P74-S74-V74-Y74-AB74</f>
        <v>0</v>
      </c>
    </row>
    <row r="75" spans="1:35" ht="18.75" customHeight="1" x14ac:dyDescent="0.3">
      <c r="A75" s="59"/>
      <c r="B75" s="26" t="s">
        <v>22</v>
      </c>
      <c r="C75" s="33"/>
      <c r="D75" s="28"/>
      <c r="E75" s="28"/>
      <c r="F75" s="34"/>
      <c r="G75" s="28"/>
      <c r="H75" s="138"/>
      <c r="I75" s="92"/>
      <c r="J75" s="34"/>
      <c r="K75" s="62"/>
      <c r="L75" s="28"/>
      <c r="M75" s="181">
        <v>0</v>
      </c>
      <c r="N75" s="175"/>
      <c r="O75" s="36"/>
      <c r="P75" s="181">
        <f>N75+O75</f>
        <v>0</v>
      </c>
      <c r="Q75" s="85"/>
      <c r="R75" s="35"/>
      <c r="S75" s="92">
        <f>Q75+R75</f>
        <v>0</v>
      </c>
      <c r="T75" s="175"/>
      <c r="U75" s="36"/>
      <c r="V75" s="181"/>
      <c r="W75" s="175">
        <f>W78</f>
        <v>293670.5</v>
      </c>
      <c r="X75" s="175">
        <f t="shared" ref="X75:Y75" si="94">X78</f>
        <v>0</v>
      </c>
      <c r="Y75" s="181">
        <f t="shared" si="94"/>
        <v>293670.5</v>
      </c>
      <c r="Z75" s="175">
        <f>Z78</f>
        <v>290018.7</v>
      </c>
      <c r="AA75" s="175">
        <f t="shared" ref="AA75:AB75" si="95">AA78</f>
        <v>0</v>
      </c>
      <c r="AB75" s="181">
        <f t="shared" si="95"/>
        <v>290018.7</v>
      </c>
      <c r="AC75" s="198"/>
      <c r="AD75" s="113"/>
      <c r="AE75" s="216"/>
      <c r="AF75" s="198"/>
      <c r="AG75" s="198"/>
      <c r="AH75" s="216"/>
    </row>
    <row r="76" spans="1:35" ht="18.75" customHeight="1" x14ac:dyDescent="0.3">
      <c r="A76" s="59"/>
      <c r="B76" s="6" t="s">
        <v>23</v>
      </c>
      <c r="C76" s="13"/>
      <c r="D76" s="7"/>
      <c r="E76" s="7"/>
      <c r="F76" s="12"/>
      <c r="G76" s="7"/>
      <c r="H76" s="137"/>
      <c r="I76" s="93"/>
      <c r="J76" s="12"/>
      <c r="K76" s="44"/>
      <c r="L76" s="7"/>
      <c r="M76" s="179">
        <v>0</v>
      </c>
      <c r="N76" s="174">
        <f>N77+N78</f>
        <v>0</v>
      </c>
      <c r="O76" s="71">
        <f t="shared" ref="O76:R76" si="96">O77+O78</f>
        <v>0</v>
      </c>
      <c r="P76" s="179">
        <f t="shared" si="96"/>
        <v>0</v>
      </c>
      <c r="Q76" s="174">
        <f t="shared" si="96"/>
        <v>4755.7</v>
      </c>
      <c r="R76" s="49">
        <f t="shared" si="96"/>
        <v>0</v>
      </c>
      <c r="S76" s="206">
        <f>Q76+R76</f>
        <v>4755.7</v>
      </c>
      <c r="T76" s="174">
        <f t="shared" ref="T76:U76" si="97">T77+T78</f>
        <v>12485.300000000001</v>
      </c>
      <c r="U76" s="71">
        <f t="shared" si="97"/>
        <v>0</v>
      </c>
      <c r="V76" s="179">
        <f>T76+U76</f>
        <v>12485.300000000001</v>
      </c>
      <c r="W76" s="178"/>
      <c r="X76" s="112"/>
      <c r="Y76" s="184"/>
      <c r="Z76" s="178"/>
      <c r="AA76" s="112"/>
      <c r="AB76" s="184"/>
      <c r="AC76" s="178"/>
      <c r="AD76" s="112"/>
      <c r="AE76" s="184"/>
      <c r="AF76" s="178"/>
      <c r="AG76" s="2"/>
      <c r="AH76" s="96"/>
    </row>
    <row r="77" spans="1:35" ht="19.5" customHeight="1" x14ac:dyDescent="0.3">
      <c r="A77" s="59"/>
      <c r="B77" s="6" t="s">
        <v>35</v>
      </c>
      <c r="C77" s="13"/>
      <c r="D77" s="7"/>
      <c r="E77" s="7"/>
      <c r="F77" s="12"/>
      <c r="G77" s="7"/>
      <c r="H77" s="137"/>
      <c r="I77" s="93"/>
      <c r="J77" s="12"/>
      <c r="K77" s="44"/>
      <c r="L77" s="7"/>
      <c r="M77" s="179">
        <v>0</v>
      </c>
      <c r="N77" s="174">
        <f>10531.7-10531.7</f>
        <v>0</v>
      </c>
      <c r="O77" s="71"/>
      <c r="P77" s="179">
        <f t="shared" ref="P77:P78" si="98">N77+O77</f>
        <v>0</v>
      </c>
      <c r="Q77" s="174">
        <f>3057.5+1698.2</f>
        <v>4755.7</v>
      </c>
      <c r="R77" s="49"/>
      <c r="S77" s="206">
        <f t="shared" ref="S77:S78" si="99">Q77+R77</f>
        <v>4755.7</v>
      </c>
      <c r="T77" s="174">
        <f>10531.7+1953.6</f>
        <v>12485.300000000001</v>
      </c>
      <c r="U77" s="71"/>
      <c r="V77" s="179">
        <f>T77+U77</f>
        <v>12485.300000000001</v>
      </c>
      <c r="W77" s="178"/>
      <c r="X77" s="112"/>
      <c r="Y77" s="184"/>
      <c r="Z77" s="178"/>
      <c r="AA77" s="112"/>
      <c r="AB77" s="184"/>
      <c r="AC77" s="178"/>
      <c r="AD77" s="112"/>
      <c r="AE77" s="184"/>
      <c r="AF77" s="178"/>
      <c r="AG77" s="2"/>
      <c r="AH77" s="96"/>
    </row>
    <row r="78" spans="1:35" ht="19.5" customHeight="1" x14ac:dyDescent="0.3">
      <c r="A78" s="59"/>
      <c r="B78" s="6" t="s">
        <v>39</v>
      </c>
      <c r="C78" s="13"/>
      <c r="D78" s="7"/>
      <c r="E78" s="7"/>
      <c r="F78" s="12"/>
      <c r="G78" s="7"/>
      <c r="H78" s="137"/>
      <c r="I78" s="93"/>
      <c r="J78" s="12"/>
      <c r="K78" s="44"/>
      <c r="L78" s="7"/>
      <c r="M78" s="179">
        <v>0</v>
      </c>
      <c r="N78" s="95"/>
      <c r="O78" s="69"/>
      <c r="P78" s="179">
        <f t="shared" si="98"/>
        <v>0</v>
      </c>
      <c r="Q78" s="95"/>
      <c r="R78" s="69"/>
      <c r="S78" s="179">
        <f t="shared" si="99"/>
        <v>0</v>
      </c>
      <c r="T78" s="95"/>
      <c r="U78" s="69"/>
      <c r="V78" s="93"/>
      <c r="W78" s="95">
        <v>293670.5</v>
      </c>
      <c r="X78" s="69"/>
      <c r="Y78" s="93">
        <f>W78+X78</f>
        <v>293670.5</v>
      </c>
      <c r="Z78" s="95">
        <f>293670.5-3651.8</f>
        <v>290018.7</v>
      </c>
      <c r="AA78" s="69"/>
      <c r="AB78" s="93">
        <f>Z78+AA78</f>
        <v>290018.7</v>
      </c>
      <c r="AC78" s="178"/>
      <c r="AD78" s="112"/>
      <c r="AE78" s="184"/>
      <c r="AF78" s="178"/>
      <c r="AG78" s="2"/>
      <c r="AH78" s="96"/>
    </row>
    <row r="79" spans="1:35" ht="141" customHeight="1" x14ac:dyDescent="0.3">
      <c r="A79" s="384">
        <v>25</v>
      </c>
      <c r="B79" s="357" t="s">
        <v>69</v>
      </c>
      <c r="C79" s="64"/>
      <c r="D79" s="65" t="s">
        <v>50</v>
      </c>
      <c r="E79" s="65">
        <v>8.2609999999999992</v>
      </c>
      <c r="F79" s="66"/>
      <c r="G79" s="65"/>
      <c r="H79" s="143"/>
      <c r="I79" s="123">
        <f>2007324+8527.6-115.1</f>
        <v>2015736.5</v>
      </c>
      <c r="J79" s="66"/>
      <c r="K79" s="67"/>
      <c r="L79" s="65"/>
      <c r="M79" s="182">
        <f t="shared" ref="M79:AH79" si="100">M80+M81</f>
        <v>0</v>
      </c>
      <c r="N79" s="176">
        <f t="shared" si="100"/>
        <v>0</v>
      </c>
      <c r="O79" s="73">
        <f t="shared" si="100"/>
        <v>0</v>
      </c>
      <c r="P79" s="182">
        <f t="shared" si="100"/>
        <v>0</v>
      </c>
      <c r="Q79" s="176">
        <f t="shared" si="100"/>
        <v>0</v>
      </c>
      <c r="R79" s="73">
        <f t="shared" si="100"/>
        <v>0</v>
      </c>
      <c r="S79" s="182">
        <f t="shared" si="100"/>
        <v>0</v>
      </c>
      <c r="T79" s="176">
        <f t="shared" si="100"/>
        <v>0</v>
      </c>
      <c r="U79" s="73">
        <f t="shared" si="100"/>
        <v>0</v>
      </c>
      <c r="V79" s="182">
        <f t="shared" si="100"/>
        <v>0</v>
      </c>
      <c r="W79" s="176">
        <f t="shared" si="100"/>
        <v>0</v>
      </c>
      <c r="X79" s="176">
        <f t="shared" si="100"/>
        <v>0</v>
      </c>
      <c r="Y79" s="182">
        <f t="shared" si="100"/>
        <v>0</v>
      </c>
      <c r="Z79" s="176">
        <f t="shared" si="100"/>
        <v>6537.2000000000007</v>
      </c>
      <c r="AA79" s="176">
        <f t="shared" si="100"/>
        <v>0</v>
      </c>
      <c r="AB79" s="182">
        <f t="shared" si="100"/>
        <v>6537.2000000000007</v>
      </c>
      <c r="AC79" s="176">
        <f t="shared" si="100"/>
        <v>15776.9</v>
      </c>
      <c r="AD79" s="176">
        <f t="shared" si="100"/>
        <v>0</v>
      </c>
      <c r="AE79" s="182">
        <f t="shared" si="100"/>
        <v>15776.9</v>
      </c>
      <c r="AF79" s="176">
        <f t="shared" si="100"/>
        <v>1993422.4</v>
      </c>
      <c r="AG79" s="176">
        <f t="shared" si="100"/>
        <v>0</v>
      </c>
      <c r="AH79" s="182">
        <f t="shared" si="100"/>
        <v>1993422.4</v>
      </c>
      <c r="AI79" s="40">
        <f>I79-Y79-AB79-AE79-AH79</f>
        <v>0</v>
      </c>
    </row>
    <row r="80" spans="1:35" ht="19.5" customHeight="1" x14ac:dyDescent="0.3">
      <c r="A80" s="59"/>
      <c r="B80" s="26" t="s">
        <v>22</v>
      </c>
      <c r="C80" s="33"/>
      <c r="D80" s="28"/>
      <c r="E80" s="28"/>
      <c r="F80" s="34"/>
      <c r="G80" s="28"/>
      <c r="H80" s="138"/>
      <c r="I80" s="92"/>
      <c r="J80" s="34"/>
      <c r="K80" s="62"/>
      <c r="L80" s="28"/>
      <c r="M80" s="181"/>
      <c r="N80" s="175"/>
      <c r="O80" s="36"/>
      <c r="P80" s="181">
        <f>N80+O80</f>
        <v>0</v>
      </c>
      <c r="Q80" s="85"/>
      <c r="R80" s="35"/>
      <c r="S80" s="92">
        <f>Q80+R80</f>
        <v>0</v>
      </c>
      <c r="T80" s="85"/>
      <c r="U80" s="35"/>
      <c r="V80" s="92"/>
      <c r="W80" s="85"/>
      <c r="X80" s="35"/>
      <c r="Y80" s="92"/>
      <c r="Z80" s="85"/>
      <c r="AA80" s="35"/>
      <c r="AB80" s="92"/>
      <c r="AC80" s="85">
        <f>AC83</f>
        <v>0</v>
      </c>
      <c r="AD80" s="85">
        <f t="shared" ref="AD80:AE80" si="101">AD83</f>
        <v>0</v>
      </c>
      <c r="AE80" s="92">
        <f t="shared" si="101"/>
        <v>0</v>
      </c>
      <c r="AF80" s="85">
        <f>AF83</f>
        <v>1993422.4</v>
      </c>
      <c r="AG80" s="85">
        <f t="shared" ref="AG80:AH80" si="102">AG83</f>
        <v>0</v>
      </c>
      <c r="AH80" s="92">
        <f t="shared" si="102"/>
        <v>1993422.4</v>
      </c>
    </row>
    <row r="81" spans="1:36" ht="19.5" customHeight="1" x14ac:dyDescent="0.3">
      <c r="A81" s="59"/>
      <c r="B81" s="6" t="s">
        <v>23</v>
      </c>
      <c r="C81" s="13"/>
      <c r="D81" s="7"/>
      <c r="E81" s="7"/>
      <c r="F81" s="12"/>
      <c r="G81" s="7"/>
      <c r="H81" s="137"/>
      <c r="I81" s="93"/>
      <c r="J81" s="12"/>
      <c r="K81" s="44"/>
      <c r="L81" s="7"/>
      <c r="M81" s="93">
        <v>0</v>
      </c>
      <c r="N81" s="95">
        <f t="shared" ref="N81:O81" si="103">N82+N83</f>
        <v>0</v>
      </c>
      <c r="O81" s="69">
        <f t="shared" si="103"/>
        <v>0</v>
      </c>
      <c r="P81" s="93">
        <f>N81+O81</f>
        <v>0</v>
      </c>
      <c r="Q81" s="95">
        <f>Q82</f>
        <v>0</v>
      </c>
      <c r="R81" s="69">
        <f t="shared" ref="R81:S81" si="104">R82</f>
        <v>0</v>
      </c>
      <c r="S81" s="93">
        <f t="shared" si="104"/>
        <v>0</v>
      </c>
      <c r="T81" s="95"/>
      <c r="U81" s="69"/>
      <c r="V81" s="93"/>
      <c r="W81" s="95">
        <f>W82+W83</f>
        <v>0</v>
      </c>
      <c r="X81" s="69">
        <f t="shared" ref="X81:Y81" si="105">X82+X83</f>
        <v>0</v>
      </c>
      <c r="Y81" s="93">
        <f t="shared" si="105"/>
        <v>0</v>
      </c>
      <c r="Z81" s="95">
        <f>Z82+Z83</f>
        <v>6537.2000000000007</v>
      </c>
      <c r="AA81" s="95">
        <f t="shared" ref="AA81:AB81" si="106">AA82+AA83</f>
        <v>0</v>
      </c>
      <c r="AB81" s="93">
        <f t="shared" si="106"/>
        <v>6537.2000000000007</v>
      </c>
      <c r="AC81" s="95">
        <f>AC82</f>
        <v>15776.9</v>
      </c>
      <c r="AD81" s="95">
        <f t="shared" ref="AD81:AF81" si="107">AD82</f>
        <v>0</v>
      </c>
      <c r="AE81" s="93">
        <f t="shared" si="107"/>
        <v>15776.9</v>
      </c>
      <c r="AF81" s="95">
        <f t="shared" si="107"/>
        <v>0</v>
      </c>
      <c r="AG81" s="2"/>
      <c r="AH81" s="96"/>
    </row>
    <row r="82" spans="1:36" ht="19.5" customHeight="1" x14ac:dyDescent="0.3">
      <c r="A82" s="59"/>
      <c r="B82" s="6" t="s">
        <v>35</v>
      </c>
      <c r="C82" s="13"/>
      <c r="D82" s="7"/>
      <c r="E82" s="7"/>
      <c r="F82" s="12"/>
      <c r="G82" s="7"/>
      <c r="H82" s="137"/>
      <c r="I82" s="105"/>
      <c r="J82" s="12"/>
      <c r="K82" s="44"/>
      <c r="L82" s="7"/>
      <c r="M82" s="93">
        <v>0</v>
      </c>
      <c r="N82" s="174">
        <f>3662+2328.8-5990.8</f>
        <v>0</v>
      </c>
      <c r="O82" s="71"/>
      <c r="P82" s="93">
        <f t="shared" ref="P82:P83" si="108">N82+O82</f>
        <v>0</v>
      </c>
      <c r="Q82" s="95">
        <f>9781.2-35.5-9745.7</f>
        <v>0</v>
      </c>
      <c r="R82" s="69"/>
      <c r="S82" s="93">
        <f t="shared" ref="S82:S83" si="109">Q82+R82</f>
        <v>0</v>
      </c>
      <c r="T82" s="190"/>
      <c r="U82" s="50"/>
      <c r="V82" s="204"/>
      <c r="W82" s="201">
        <f>5990.8-5990.8</f>
        <v>0</v>
      </c>
      <c r="X82" s="163"/>
      <c r="Y82" s="219">
        <f>W82+X82</f>
        <v>0</v>
      </c>
      <c r="Z82" s="213">
        <f>9745.7-3208.5</f>
        <v>6537.2000000000007</v>
      </c>
      <c r="AA82" s="164"/>
      <c r="AB82" s="225">
        <f>Z82+AA82</f>
        <v>6537.2000000000007</v>
      </c>
      <c r="AC82" s="162">
        <v>15776.9</v>
      </c>
      <c r="AD82" s="162"/>
      <c r="AE82" s="230">
        <f>AC82+AD82</f>
        <v>15776.9</v>
      </c>
      <c r="AF82" s="222"/>
      <c r="AG82" s="2"/>
      <c r="AH82" s="96"/>
    </row>
    <row r="83" spans="1:36" ht="19.5" customHeight="1" x14ac:dyDescent="0.3">
      <c r="A83" s="59"/>
      <c r="B83" s="6" t="s">
        <v>39</v>
      </c>
      <c r="C83" s="13"/>
      <c r="D83" s="7"/>
      <c r="E83" s="7"/>
      <c r="F83" s="12"/>
      <c r="G83" s="7"/>
      <c r="H83" s="137"/>
      <c r="I83" s="105"/>
      <c r="J83" s="12"/>
      <c r="K83" s="44"/>
      <c r="L83" s="7"/>
      <c r="M83" s="93">
        <v>0</v>
      </c>
      <c r="N83" s="174"/>
      <c r="O83" s="71"/>
      <c r="P83" s="93">
        <f t="shared" si="108"/>
        <v>0</v>
      </c>
      <c r="Q83" s="95"/>
      <c r="R83" s="69"/>
      <c r="S83" s="93">
        <f t="shared" si="109"/>
        <v>0</v>
      </c>
      <c r="T83" s="95"/>
      <c r="U83" s="69"/>
      <c r="V83" s="93"/>
      <c r="W83" s="84"/>
      <c r="X83" s="48"/>
      <c r="Y83" s="91"/>
      <c r="Z83" s="84"/>
      <c r="AA83" s="48"/>
      <c r="AB83" s="91"/>
      <c r="AC83" s="84">
        <f>1000000-1000000</f>
        <v>0</v>
      </c>
      <c r="AD83" s="48"/>
      <c r="AE83" s="91">
        <f>AC83+AD83</f>
        <v>0</v>
      </c>
      <c r="AF83" s="84">
        <f>1000000+993422.4</f>
        <v>1993422.4</v>
      </c>
      <c r="AG83" s="164"/>
      <c r="AH83" s="225">
        <f>AF83+AG83</f>
        <v>1993422.4</v>
      </c>
    </row>
    <row r="84" spans="1:36" ht="143.25" customHeight="1" x14ac:dyDescent="0.3">
      <c r="A84" s="384">
        <v>26</v>
      </c>
      <c r="B84" s="357" t="s">
        <v>70</v>
      </c>
      <c r="C84" s="64"/>
      <c r="D84" s="65" t="s">
        <v>50</v>
      </c>
      <c r="E84" s="65">
        <v>7.5890000000000004</v>
      </c>
      <c r="F84" s="100"/>
      <c r="G84" s="65"/>
      <c r="H84" s="143"/>
      <c r="I84" s="123">
        <v>1019376.3</v>
      </c>
      <c r="J84" s="100"/>
      <c r="K84" s="72"/>
      <c r="L84" s="68"/>
      <c r="M84" s="182">
        <f t="shared" ref="M84" si="110">M85+M86</f>
        <v>0</v>
      </c>
      <c r="N84" s="176">
        <f>N85+N86</f>
        <v>0</v>
      </c>
      <c r="O84" s="73">
        <f t="shared" ref="O84:AH84" si="111">O85+O86</f>
        <v>0</v>
      </c>
      <c r="P84" s="182">
        <f t="shared" si="111"/>
        <v>0</v>
      </c>
      <c r="Q84" s="176">
        <f t="shared" si="111"/>
        <v>0</v>
      </c>
      <c r="R84" s="73">
        <f t="shared" si="111"/>
        <v>0</v>
      </c>
      <c r="S84" s="182">
        <f>Q84+R84</f>
        <v>0</v>
      </c>
      <c r="T84" s="176">
        <f t="shared" si="111"/>
        <v>0</v>
      </c>
      <c r="U84" s="73">
        <f t="shared" si="111"/>
        <v>0</v>
      </c>
      <c r="V84" s="182">
        <f t="shared" si="111"/>
        <v>0</v>
      </c>
      <c r="W84" s="176">
        <f t="shared" si="111"/>
        <v>0</v>
      </c>
      <c r="X84" s="176">
        <f t="shared" si="111"/>
        <v>0</v>
      </c>
      <c r="Y84" s="182">
        <f t="shared" si="111"/>
        <v>0</v>
      </c>
      <c r="Z84" s="176">
        <f t="shared" si="111"/>
        <v>6515.6</v>
      </c>
      <c r="AA84" s="176">
        <f t="shared" si="111"/>
        <v>0</v>
      </c>
      <c r="AB84" s="182">
        <f t="shared" si="111"/>
        <v>6515.6</v>
      </c>
      <c r="AC84" s="176">
        <f t="shared" si="111"/>
        <v>25186.400000000001</v>
      </c>
      <c r="AD84" s="176">
        <f t="shared" si="111"/>
        <v>0</v>
      </c>
      <c r="AE84" s="182">
        <f t="shared" si="111"/>
        <v>25186.400000000001</v>
      </c>
      <c r="AF84" s="176">
        <f t="shared" si="111"/>
        <v>987674.3</v>
      </c>
      <c r="AG84" s="176">
        <f t="shared" si="111"/>
        <v>0</v>
      </c>
      <c r="AH84" s="182">
        <f t="shared" si="111"/>
        <v>987674.3</v>
      </c>
      <c r="AI84" s="238">
        <f>I84-Y84-AB84-AE84-AH84</f>
        <v>0</v>
      </c>
    </row>
    <row r="85" spans="1:36" ht="21" customHeight="1" x14ac:dyDescent="0.3">
      <c r="A85" s="59"/>
      <c r="B85" s="26" t="s">
        <v>22</v>
      </c>
      <c r="C85" s="33"/>
      <c r="D85" s="28"/>
      <c r="E85" s="28"/>
      <c r="F85" s="34"/>
      <c r="G85" s="28"/>
      <c r="H85" s="138"/>
      <c r="I85" s="92"/>
      <c r="J85" s="85"/>
      <c r="K85" s="74"/>
      <c r="L85" s="35"/>
      <c r="M85" s="181"/>
      <c r="N85" s="175"/>
      <c r="O85" s="36"/>
      <c r="P85" s="181"/>
      <c r="Q85" s="85"/>
      <c r="R85" s="35"/>
      <c r="S85" s="92">
        <f>Q85+R85</f>
        <v>0</v>
      </c>
      <c r="T85" s="189"/>
      <c r="U85" s="37"/>
      <c r="V85" s="203"/>
      <c r="W85" s="198"/>
      <c r="X85" s="113"/>
      <c r="Y85" s="216"/>
      <c r="Z85" s="198"/>
      <c r="AA85" s="113"/>
      <c r="AB85" s="216"/>
      <c r="AC85" s="198">
        <f>AC88</f>
        <v>0</v>
      </c>
      <c r="AD85" s="198">
        <f t="shared" ref="AD85:AE85" si="112">AD88</f>
        <v>0</v>
      </c>
      <c r="AE85" s="216">
        <f t="shared" si="112"/>
        <v>0</v>
      </c>
      <c r="AF85" s="198">
        <f>AF88</f>
        <v>987674.3</v>
      </c>
      <c r="AG85" s="198">
        <f t="shared" ref="AG85:AH85" si="113">AG88</f>
        <v>0</v>
      </c>
      <c r="AH85" s="216">
        <f t="shared" si="113"/>
        <v>987674.3</v>
      </c>
    </row>
    <row r="86" spans="1:36" ht="21" customHeight="1" x14ac:dyDescent="0.3">
      <c r="A86" s="59"/>
      <c r="B86" s="6" t="s">
        <v>23</v>
      </c>
      <c r="C86" s="13"/>
      <c r="D86" s="7"/>
      <c r="E86" s="7"/>
      <c r="F86" s="12"/>
      <c r="G86" s="7"/>
      <c r="H86" s="137"/>
      <c r="I86" s="93"/>
      <c r="J86" s="95"/>
      <c r="K86" s="70"/>
      <c r="L86" s="69"/>
      <c r="M86" s="93">
        <f t="shared" ref="M86" si="114">M87+M88</f>
        <v>0</v>
      </c>
      <c r="N86" s="95">
        <f>N87+N88</f>
        <v>0</v>
      </c>
      <c r="O86" s="69">
        <f t="shared" ref="O86:P86" si="115">O87+O88</f>
        <v>0</v>
      </c>
      <c r="P86" s="93">
        <f t="shared" si="115"/>
        <v>0</v>
      </c>
      <c r="Q86" s="95">
        <f>Q87</f>
        <v>0</v>
      </c>
      <c r="R86" s="69">
        <f t="shared" ref="R86:S86" si="116">R87</f>
        <v>0</v>
      </c>
      <c r="S86" s="93">
        <f t="shared" si="116"/>
        <v>0</v>
      </c>
      <c r="T86" s="191"/>
      <c r="U86" s="75"/>
      <c r="V86" s="205"/>
      <c r="W86" s="95">
        <f>W87+W88</f>
        <v>0</v>
      </c>
      <c r="X86" s="95">
        <f t="shared" ref="X86:Y86" si="117">X87+X88</f>
        <v>0</v>
      </c>
      <c r="Y86" s="93">
        <f t="shared" si="117"/>
        <v>0</v>
      </c>
      <c r="Z86" s="95">
        <f>Z87</f>
        <v>6515.6</v>
      </c>
      <c r="AA86" s="95">
        <f t="shared" ref="AA86:AB86" si="118">AA87</f>
        <v>0</v>
      </c>
      <c r="AB86" s="93">
        <f t="shared" si="118"/>
        <v>6515.6</v>
      </c>
      <c r="AC86" s="178">
        <f>AC87</f>
        <v>25186.400000000001</v>
      </c>
      <c r="AD86" s="178">
        <f t="shared" ref="AD86:AE86" si="119">AD87</f>
        <v>0</v>
      </c>
      <c r="AE86" s="184">
        <f t="shared" si="119"/>
        <v>25186.400000000001</v>
      </c>
      <c r="AF86" s="178"/>
      <c r="AG86" s="2"/>
      <c r="AH86" s="96"/>
    </row>
    <row r="87" spans="1:36" ht="19.5" customHeight="1" x14ac:dyDescent="0.3">
      <c r="A87" s="59"/>
      <c r="B87" s="6" t="s">
        <v>35</v>
      </c>
      <c r="C87" s="13"/>
      <c r="D87" s="7"/>
      <c r="E87" s="7"/>
      <c r="F87" s="12"/>
      <c r="G87" s="7"/>
      <c r="H87" s="137"/>
      <c r="I87" s="93"/>
      <c r="J87" s="95"/>
      <c r="K87" s="70"/>
      <c r="L87" s="69"/>
      <c r="M87" s="93">
        <v>0</v>
      </c>
      <c r="N87" s="95">
        <f>3581.5+2233.7-5815.2</f>
        <v>0</v>
      </c>
      <c r="O87" s="69"/>
      <c r="P87" s="93">
        <f t="shared" ref="P87:P88" si="120">N87+O87</f>
        <v>0</v>
      </c>
      <c r="Q87" s="95">
        <f>13496.6+64.5-13561.1</f>
        <v>0</v>
      </c>
      <c r="R87" s="69"/>
      <c r="S87" s="93">
        <f t="shared" ref="S87:S89" si="121">Q87+R87</f>
        <v>0</v>
      </c>
      <c r="T87" s="191"/>
      <c r="U87" s="75"/>
      <c r="V87" s="205"/>
      <c r="W87" s="95">
        <f>3581.5+2233.7-5815.2</f>
        <v>0</v>
      </c>
      <c r="X87" s="69"/>
      <c r="Y87" s="93">
        <f>W87+X87</f>
        <v>0</v>
      </c>
      <c r="Z87" s="95">
        <f>13496.6+64.5-7045.5</f>
        <v>6515.6</v>
      </c>
      <c r="AA87" s="69"/>
      <c r="AB87" s="93">
        <f>Z87+AA87</f>
        <v>6515.6</v>
      </c>
      <c r="AC87" s="112">
        <v>25186.400000000001</v>
      </c>
      <c r="AD87" s="112"/>
      <c r="AE87" s="184">
        <f>AC87+AD87</f>
        <v>25186.400000000001</v>
      </c>
      <c r="AF87" s="178"/>
      <c r="AG87" s="2"/>
      <c r="AH87" s="96"/>
    </row>
    <row r="88" spans="1:36" ht="19.5" customHeight="1" x14ac:dyDescent="0.3">
      <c r="A88" s="59"/>
      <c r="B88" s="6" t="s">
        <v>39</v>
      </c>
      <c r="C88" s="13"/>
      <c r="D88" s="7"/>
      <c r="E88" s="7"/>
      <c r="F88" s="12"/>
      <c r="G88" s="7"/>
      <c r="H88" s="137"/>
      <c r="I88" s="93"/>
      <c r="J88" s="95"/>
      <c r="K88" s="70"/>
      <c r="L88" s="69"/>
      <c r="M88" s="93"/>
      <c r="N88" s="95"/>
      <c r="O88" s="69"/>
      <c r="P88" s="93">
        <f t="shared" si="120"/>
        <v>0</v>
      </c>
      <c r="Q88" s="95"/>
      <c r="R88" s="69"/>
      <c r="S88" s="93">
        <f t="shared" si="121"/>
        <v>0</v>
      </c>
      <c r="T88" s="191"/>
      <c r="U88" s="75"/>
      <c r="V88" s="205"/>
      <c r="W88" s="178"/>
      <c r="X88" s="112"/>
      <c r="Y88" s="184"/>
      <c r="Z88" s="178"/>
      <c r="AA88" s="112"/>
      <c r="AB88" s="184"/>
      <c r="AC88" s="178">
        <f>500000-500000</f>
        <v>0</v>
      </c>
      <c r="AD88" s="112"/>
      <c r="AE88" s="184">
        <f>AC88+AD88</f>
        <v>0</v>
      </c>
      <c r="AF88" s="178">
        <f>500000+487674.3</f>
        <v>987674.3</v>
      </c>
      <c r="AG88" s="2"/>
      <c r="AH88" s="184">
        <f>AF88+AG88</f>
        <v>987674.3</v>
      </c>
    </row>
    <row r="89" spans="1:36" ht="135.75" customHeight="1" x14ac:dyDescent="0.3">
      <c r="A89" s="379"/>
      <c r="B89" s="357" t="s">
        <v>117</v>
      </c>
      <c r="C89" s="8" t="s">
        <v>47</v>
      </c>
      <c r="D89" s="7" t="s">
        <v>50</v>
      </c>
      <c r="E89" s="7">
        <v>21.492999999999999</v>
      </c>
      <c r="F89" s="7"/>
      <c r="G89" s="7"/>
      <c r="H89" s="38">
        <v>117560.10248</v>
      </c>
      <c r="I89" s="89">
        <f>17414460+202+1380.002</f>
        <v>17416042.002</v>
      </c>
      <c r="J89" s="12"/>
      <c r="K89" s="7"/>
      <c r="L89" s="9"/>
      <c r="M89" s="91">
        <f t="shared" ref="M89" si="122">M90+M91</f>
        <v>0</v>
      </c>
      <c r="N89" s="174">
        <f>N90+N91</f>
        <v>0</v>
      </c>
      <c r="O89" s="71">
        <f t="shared" ref="O89:AH89" si="123">O90+O91</f>
        <v>0</v>
      </c>
      <c r="P89" s="179">
        <f t="shared" si="123"/>
        <v>0</v>
      </c>
      <c r="Q89" s="174">
        <f t="shared" si="123"/>
        <v>0</v>
      </c>
      <c r="R89" s="71"/>
      <c r="S89" s="93">
        <f t="shared" si="121"/>
        <v>0</v>
      </c>
      <c r="T89" s="174">
        <f t="shared" si="123"/>
        <v>0</v>
      </c>
      <c r="U89" s="71"/>
      <c r="V89" s="179"/>
      <c r="W89" s="174">
        <f t="shared" si="123"/>
        <v>4001380</v>
      </c>
      <c r="X89" s="174">
        <f t="shared" si="123"/>
        <v>0</v>
      </c>
      <c r="Y89" s="179">
        <f t="shared" si="123"/>
        <v>4001380</v>
      </c>
      <c r="Z89" s="174">
        <f t="shared" si="123"/>
        <v>4000000</v>
      </c>
      <c r="AA89" s="174">
        <f t="shared" si="123"/>
        <v>0</v>
      </c>
      <c r="AB89" s="179">
        <f t="shared" si="123"/>
        <v>4000000</v>
      </c>
      <c r="AC89" s="174">
        <f t="shared" si="123"/>
        <v>3600000</v>
      </c>
      <c r="AD89" s="174">
        <f t="shared" si="123"/>
        <v>0</v>
      </c>
      <c r="AE89" s="179">
        <f t="shared" si="123"/>
        <v>3600000</v>
      </c>
      <c r="AF89" s="226">
        <f t="shared" si="123"/>
        <v>5697099.8999999994</v>
      </c>
      <c r="AG89" s="226">
        <f t="shared" si="123"/>
        <v>0</v>
      </c>
      <c r="AH89" s="286">
        <f t="shared" si="123"/>
        <v>5697099.8999999994</v>
      </c>
      <c r="AI89" s="263">
        <f>I89-M89-P89-S89-V89-Y89-AB89-AE89-AH89</f>
        <v>117562.10200000089</v>
      </c>
      <c r="AJ89" s="300" t="s">
        <v>96</v>
      </c>
    </row>
    <row r="90" spans="1:36" ht="27" customHeight="1" x14ac:dyDescent="0.3">
      <c r="A90" s="379"/>
      <c r="B90" s="26" t="s">
        <v>22</v>
      </c>
      <c r="C90" s="8"/>
      <c r="D90" s="28"/>
      <c r="E90" s="28"/>
      <c r="F90" s="28"/>
      <c r="G90" s="28"/>
      <c r="H90" s="138"/>
      <c r="I90" s="90"/>
      <c r="J90" s="34"/>
      <c r="K90" s="28"/>
      <c r="L90" s="19"/>
      <c r="M90" s="181"/>
      <c r="N90" s="175"/>
      <c r="O90" s="36"/>
      <c r="P90" s="181">
        <f>N90+O90</f>
        <v>0</v>
      </c>
      <c r="Q90" s="175"/>
      <c r="R90" s="36"/>
      <c r="S90" s="181">
        <f>Q90+R90</f>
        <v>0</v>
      </c>
      <c r="T90" s="175"/>
      <c r="U90" s="36"/>
      <c r="V90" s="181"/>
      <c r="W90" s="189">
        <f>W93</f>
        <v>4000000</v>
      </c>
      <c r="X90" s="189">
        <f t="shared" ref="X90:Y90" si="124">X93</f>
        <v>0</v>
      </c>
      <c r="Y90" s="203">
        <f t="shared" si="124"/>
        <v>4000000</v>
      </c>
      <c r="Z90" s="189">
        <f>Z93</f>
        <v>4000000</v>
      </c>
      <c r="AA90" s="189">
        <f t="shared" ref="AA90:AB90" si="125">AA93</f>
        <v>0</v>
      </c>
      <c r="AB90" s="203">
        <f t="shared" si="125"/>
        <v>4000000</v>
      </c>
      <c r="AC90" s="189">
        <f>AC93</f>
        <v>3600000</v>
      </c>
      <c r="AD90" s="189">
        <f t="shared" ref="AD90:AE90" si="126">AD93</f>
        <v>0</v>
      </c>
      <c r="AE90" s="203">
        <f t="shared" si="126"/>
        <v>3600000</v>
      </c>
      <c r="AF90" s="227">
        <f>AF93</f>
        <v>5697099.8999999994</v>
      </c>
      <c r="AG90" s="227">
        <f>AG93</f>
        <v>0</v>
      </c>
      <c r="AH90" s="287">
        <f>AH93</f>
        <v>5697099.8999999994</v>
      </c>
    </row>
    <row r="91" spans="1:36" ht="27" customHeight="1" x14ac:dyDescent="0.3">
      <c r="A91" s="379"/>
      <c r="B91" s="6" t="s">
        <v>23</v>
      </c>
      <c r="C91" s="8"/>
      <c r="D91" s="7"/>
      <c r="E91" s="7"/>
      <c r="F91" s="7"/>
      <c r="G91" s="7"/>
      <c r="H91" s="137"/>
      <c r="I91" s="89"/>
      <c r="J91" s="12"/>
      <c r="K91" s="7"/>
      <c r="L91" s="9"/>
      <c r="M91" s="93">
        <v>0</v>
      </c>
      <c r="N91" s="174"/>
      <c r="O91" s="71"/>
      <c r="P91" s="179"/>
      <c r="Q91" s="174"/>
      <c r="R91" s="71"/>
      <c r="S91" s="179">
        <f>Q91+R91</f>
        <v>0</v>
      </c>
      <c r="T91" s="174"/>
      <c r="U91" s="71"/>
      <c r="V91" s="179"/>
      <c r="W91" s="178">
        <f>W92</f>
        <v>1380</v>
      </c>
      <c r="X91" s="178">
        <f t="shared" ref="X91:Y91" si="127">X92</f>
        <v>0</v>
      </c>
      <c r="Y91" s="184">
        <f t="shared" si="127"/>
        <v>1380</v>
      </c>
      <c r="Z91" s="178"/>
      <c r="AA91" s="112"/>
      <c r="AB91" s="184"/>
      <c r="AC91" s="178"/>
      <c r="AD91" s="112"/>
      <c r="AE91" s="184"/>
      <c r="AF91" s="178"/>
      <c r="AG91" s="2"/>
      <c r="AH91" s="96"/>
    </row>
    <row r="92" spans="1:36" ht="27" customHeight="1" x14ac:dyDescent="0.3">
      <c r="A92" s="379"/>
      <c r="B92" s="6" t="s">
        <v>35</v>
      </c>
      <c r="C92" s="8"/>
      <c r="D92" s="7"/>
      <c r="E92" s="7"/>
      <c r="F92" s="7"/>
      <c r="G92" s="7"/>
      <c r="H92" s="137"/>
      <c r="I92" s="89"/>
      <c r="J92" s="12"/>
      <c r="K92" s="7"/>
      <c r="L92" s="9"/>
      <c r="M92" s="93">
        <v>0</v>
      </c>
      <c r="N92" s="174"/>
      <c r="O92" s="71"/>
      <c r="P92" s="179"/>
      <c r="Q92" s="174"/>
      <c r="R92" s="71"/>
      <c r="S92" s="179">
        <f t="shared" ref="S92:S96" si="128">Q92+R92</f>
        <v>0</v>
      </c>
      <c r="T92" s="174"/>
      <c r="U92" s="71"/>
      <c r="V92" s="179"/>
      <c r="W92" s="178">
        <v>1380</v>
      </c>
      <c r="X92" s="112"/>
      <c r="Y92" s="184">
        <f>W92+X92</f>
        <v>1380</v>
      </c>
      <c r="Z92" s="178"/>
      <c r="AA92" s="112"/>
      <c r="AB92" s="184"/>
      <c r="AC92" s="178"/>
      <c r="AD92" s="112"/>
      <c r="AE92" s="184"/>
      <c r="AF92" s="178"/>
      <c r="AG92" s="2"/>
      <c r="AH92" s="96"/>
    </row>
    <row r="93" spans="1:36" ht="27" customHeight="1" x14ac:dyDescent="0.3">
      <c r="A93" s="379"/>
      <c r="B93" s="6" t="s">
        <v>44</v>
      </c>
      <c r="C93" s="8"/>
      <c r="D93" s="7"/>
      <c r="E93" s="7"/>
      <c r="F93" s="7"/>
      <c r="G93" s="7"/>
      <c r="H93" s="137"/>
      <c r="I93" s="89"/>
      <c r="J93" s="12"/>
      <c r="K93" s="7"/>
      <c r="L93" s="9"/>
      <c r="M93" s="179"/>
      <c r="N93" s="174"/>
      <c r="O93" s="71"/>
      <c r="P93" s="179">
        <f>N93+O93</f>
        <v>0</v>
      </c>
      <c r="Q93" s="187"/>
      <c r="R93" s="49"/>
      <c r="S93" s="179">
        <f t="shared" si="128"/>
        <v>0</v>
      </c>
      <c r="T93" s="187"/>
      <c r="U93" s="49"/>
      <c r="V93" s="206"/>
      <c r="W93" s="190">
        <v>4000000</v>
      </c>
      <c r="X93" s="50"/>
      <c r="Y93" s="204">
        <f>W93+X93</f>
        <v>4000000</v>
      </c>
      <c r="Z93" s="190">
        <v>4000000</v>
      </c>
      <c r="AA93" s="50"/>
      <c r="AB93" s="204">
        <f>Z93+AA93</f>
        <v>4000000</v>
      </c>
      <c r="AC93" s="190">
        <v>3600000</v>
      </c>
      <c r="AD93" s="50"/>
      <c r="AE93" s="204">
        <f>AC93+AD93</f>
        <v>3600000</v>
      </c>
      <c r="AF93" s="228">
        <f>3679205.9+2001000+135254.1-1000-117362.012+1.912</f>
        <v>5697099.8999999994</v>
      </c>
      <c r="AG93" s="2"/>
      <c r="AH93" s="262">
        <f>AF93+AG93</f>
        <v>5697099.8999999994</v>
      </c>
    </row>
    <row r="94" spans="1:36" ht="92.25" customHeight="1" x14ac:dyDescent="0.3">
      <c r="A94" s="59"/>
      <c r="B94" s="361" t="s">
        <v>57</v>
      </c>
      <c r="C94" s="8"/>
      <c r="D94" s="7">
        <v>2022</v>
      </c>
      <c r="E94" s="7">
        <v>6.46</v>
      </c>
      <c r="F94" s="12"/>
      <c r="G94" s="7"/>
      <c r="H94" s="137"/>
      <c r="I94" s="125">
        <v>83960</v>
      </c>
      <c r="J94" s="126"/>
      <c r="K94" s="45"/>
      <c r="L94" s="127"/>
      <c r="M94" s="183">
        <f t="shared" ref="M94:V94" si="129">M95+M96</f>
        <v>1477.7</v>
      </c>
      <c r="N94" s="177">
        <f t="shared" si="129"/>
        <v>0</v>
      </c>
      <c r="O94" s="129">
        <f t="shared" si="129"/>
        <v>0</v>
      </c>
      <c r="P94" s="183">
        <f t="shared" si="129"/>
        <v>0</v>
      </c>
      <c r="Q94" s="177">
        <f t="shared" si="129"/>
        <v>0</v>
      </c>
      <c r="R94" s="129"/>
      <c r="S94" s="183">
        <f t="shared" si="128"/>
        <v>0</v>
      </c>
      <c r="T94" s="177">
        <f t="shared" si="129"/>
        <v>82482.3</v>
      </c>
      <c r="U94" s="129">
        <f t="shared" si="129"/>
        <v>0</v>
      </c>
      <c r="V94" s="183">
        <f t="shared" si="129"/>
        <v>82482.3</v>
      </c>
      <c r="W94" s="202"/>
      <c r="X94" s="130"/>
      <c r="Y94" s="220"/>
      <c r="Z94" s="178"/>
      <c r="AA94" s="112"/>
      <c r="AB94" s="184"/>
      <c r="AC94" s="178"/>
      <c r="AD94" s="112"/>
      <c r="AE94" s="184"/>
      <c r="AF94" s="178"/>
      <c r="AG94" s="2"/>
      <c r="AH94" s="96"/>
      <c r="AI94" s="264">
        <f>I94-M94-P94-S94-V94-Y94-AB94-AE94-AH94</f>
        <v>0</v>
      </c>
    </row>
    <row r="95" spans="1:36" ht="21" customHeight="1" x14ac:dyDescent="0.3">
      <c r="A95" s="59"/>
      <c r="B95" s="6" t="s">
        <v>35</v>
      </c>
      <c r="C95" s="8"/>
      <c r="D95" s="7"/>
      <c r="E95" s="7"/>
      <c r="F95" s="12"/>
      <c r="G95" s="7"/>
      <c r="H95" s="137"/>
      <c r="I95" s="125"/>
      <c r="J95" s="126"/>
      <c r="K95" s="45"/>
      <c r="L95" s="127"/>
      <c r="M95" s="183">
        <v>1477.7</v>
      </c>
      <c r="N95" s="177"/>
      <c r="O95" s="129"/>
      <c r="P95" s="183"/>
      <c r="Q95" s="188"/>
      <c r="R95" s="128"/>
      <c r="S95" s="183">
        <f t="shared" si="128"/>
        <v>0</v>
      </c>
      <c r="T95" s="192"/>
      <c r="U95" s="131"/>
      <c r="V95" s="207"/>
      <c r="W95" s="202"/>
      <c r="X95" s="130"/>
      <c r="Y95" s="220"/>
      <c r="Z95" s="178"/>
      <c r="AA95" s="112"/>
      <c r="AB95" s="184"/>
      <c r="AC95" s="178"/>
      <c r="AD95" s="112"/>
      <c r="AE95" s="184"/>
      <c r="AF95" s="178"/>
      <c r="AG95" s="2"/>
      <c r="AH95" s="96"/>
    </row>
    <row r="96" spans="1:36" ht="21" customHeight="1" thickBot="1" x14ac:dyDescent="0.35">
      <c r="A96" s="59"/>
      <c r="B96" s="6" t="s">
        <v>36</v>
      </c>
      <c r="C96" s="8"/>
      <c r="D96" s="7"/>
      <c r="E96" s="7"/>
      <c r="F96" s="12"/>
      <c r="G96" s="7"/>
      <c r="H96" s="137"/>
      <c r="I96" s="125"/>
      <c r="J96" s="126"/>
      <c r="K96" s="45"/>
      <c r="L96" s="127"/>
      <c r="M96" s="183"/>
      <c r="N96" s="177"/>
      <c r="O96" s="129"/>
      <c r="P96" s="183">
        <f>N96+O96</f>
        <v>0</v>
      </c>
      <c r="Q96" s="188"/>
      <c r="R96" s="128"/>
      <c r="S96" s="183">
        <f t="shared" si="128"/>
        <v>0</v>
      </c>
      <c r="T96" s="193">
        <f>79960+2522.3</f>
        <v>82482.3</v>
      </c>
      <c r="U96" s="159"/>
      <c r="V96" s="208">
        <f>T96+U96</f>
        <v>82482.3</v>
      </c>
      <c r="W96" s="202"/>
      <c r="X96" s="130"/>
      <c r="Y96" s="220"/>
      <c r="Z96" s="178"/>
      <c r="AA96" s="112"/>
      <c r="AB96" s="184"/>
      <c r="AC96" s="178"/>
      <c r="AD96" s="112"/>
      <c r="AE96" s="184"/>
      <c r="AF96" s="178"/>
      <c r="AG96" s="2"/>
      <c r="AH96" s="96"/>
    </row>
    <row r="97" spans="1:35" ht="81" customHeight="1" thickBot="1" x14ac:dyDescent="0.35">
      <c r="A97" s="59"/>
      <c r="B97" s="362" t="s">
        <v>120</v>
      </c>
      <c r="C97" s="8"/>
      <c r="D97" s="7">
        <v>2020</v>
      </c>
      <c r="E97" s="7"/>
      <c r="F97" s="12"/>
      <c r="G97" s="7" t="s">
        <v>64</v>
      </c>
      <c r="H97" s="137"/>
      <c r="I97" s="363">
        <f>9645.4</f>
        <v>9645.4</v>
      </c>
      <c r="J97" s="126"/>
      <c r="K97" s="45"/>
      <c r="L97" s="127"/>
      <c r="M97" s="183"/>
      <c r="N97" s="177">
        <f>N98+N99</f>
        <v>2111.4</v>
      </c>
      <c r="O97" s="129">
        <f>O98+O99</f>
        <v>0</v>
      </c>
      <c r="P97" s="183">
        <f>N97+O97</f>
        <v>2111.4</v>
      </c>
      <c r="Q97" s="188"/>
      <c r="R97" s="129">
        <f>R98+R99</f>
        <v>0</v>
      </c>
      <c r="S97" s="183">
        <f>Q97+R97</f>
        <v>0</v>
      </c>
      <c r="T97" s="192"/>
      <c r="U97" s="131"/>
      <c r="V97" s="207"/>
      <c r="W97" s="202"/>
      <c r="X97" s="130"/>
      <c r="Y97" s="220"/>
      <c r="Z97" s="178"/>
      <c r="AA97" s="112"/>
      <c r="AB97" s="184"/>
      <c r="AC97" s="178"/>
      <c r="AD97" s="112"/>
      <c r="AE97" s="184"/>
      <c r="AF97" s="178"/>
      <c r="AG97" s="2"/>
      <c r="AH97" s="96"/>
      <c r="AI97" s="264">
        <f>I97-P97-S97</f>
        <v>7534</v>
      </c>
    </row>
    <row r="98" spans="1:35" ht="21" customHeight="1" x14ac:dyDescent="0.3">
      <c r="A98" s="59"/>
      <c r="B98" s="357" t="s">
        <v>35</v>
      </c>
      <c r="C98" s="8"/>
      <c r="D98" s="7"/>
      <c r="E98" s="7"/>
      <c r="F98" s="12"/>
      <c r="G98" s="7"/>
      <c r="H98" s="137"/>
      <c r="I98" s="125"/>
      <c r="J98" s="126"/>
      <c r="K98" s="45"/>
      <c r="L98" s="127"/>
      <c r="M98" s="183"/>
      <c r="N98" s="177">
        <f>1645.4-212</f>
        <v>1433.4</v>
      </c>
      <c r="O98" s="129"/>
      <c r="P98" s="183">
        <f t="shared" ref="P98:P99" si="130">N98+O98</f>
        <v>1433.4</v>
      </c>
      <c r="Q98" s="177">
        <v>212</v>
      </c>
      <c r="R98" s="129">
        <v>0</v>
      </c>
      <c r="S98" s="183">
        <f>Q98+R98</f>
        <v>212</v>
      </c>
      <c r="T98" s="192"/>
      <c r="U98" s="131"/>
      <c r="V98" s="207"/>
      <c r="W98" s="202"/>
      <c r="X98" s="130"/>
      <c r="Y98" s="220"/>
      <c r="Z98" s="178"/>
      <c r="AA98" s="112"/>
      <c r="AB98" s="184"/>
      <c r="AC98" s="178"/>
      <c r="AD98" s="112"/>
      <c r="AE98" s="184"/>
      <c r="AF98" s="178"/>
      <c r="AG98" s="2"/>
      <c r="AH98" s="96"/>
    </row>
    <row r="99" spans="1:35" ht="21" customHeight="1" x14ac:dyDescent="0.3">
      <c r="A99" s="59"/>
      <c r="B99" s="6" t="s">
        <v>36</v>
      </c>
      <c r="C99" s="8"/>
      <c r="D99" s="7"/>
      <c r="E99" s="7"/>
      <c r="F99" s="12"/>
      <c r="G99" s="7"/>
      <c r="H99" s="137"/>
      <c r="I99" s="125"/>
      <c r="J99" s="126"/>
      <c r="K99" s="45"/>
      <c r="L99" s="127"/>
      <c r="M99" s="183"/>
      <c r="N99" s="177">
        <f>8000-7322</f>
        <v>678</v>
      </c>
      <c r="O99" s="129"/>
      <c r="P99" s="183">
        <f t="shared" si="130"/>
        <v>678</v>
      </c>
      <c r="Q99" s="177">
        <v>7322</v>
      </c>
      <c r="R99" s="129">
        <v>0</v>
      </c>
      <c r="S99" s="183">
        <f>Q99+R99</f>
        <v>7322</v>
      </c>
      <c r="T99" s="192"/>
      <c r="U99" s="131"/>
      <c r="V99" s="207"/>
      <c r="W99" s="202"/>
      <c r="X99" s="130"/>
      <c r="Y99" s="220"/>
      <c r="Z99" s="178"/>
      <c r="AA99" s="112"/>
      <c r="AB99" s="184"/>
      <c r="AC99" s="178"/>
      <c r="AD99" s="112"/>
      <c r="AE99" s="184"/>
      <c r="AF99" s="178"/>
      <c r="AG99" s="2"/>
      <c r="AH99" s="96"/>
    </row>
    <row r="100" spans="1:35" ht="93" customHeight="1" x14ac:dyDescent="0.3">
      <c r="A100" s="59"/>
      <c r="B100" s="364" t="s">
        <v>121</v>
      </c>
      <c r="C100" s="8"/>
      <c r="D100" s="7">
        <v>2020</v>
      </c>
      <c r="E100" s="7"/>
      <c r="F100" s="12"/>
      <c r="G100" s="7" t="s">
        <v>65</v>
      </c>
      <c r="H100" s="137"/>
      <c r="I100" s="363">
        <f>4971.2-558.6</f>
        <v>4412.5999999999995</v>
      </c>
      <c r="J100" s="126"/>
      <c r="K100" s="45"/>
      <c r="L100" s="127"/>
      <c r="M100" s="183">
        <v>0</v>
      </c>
      <c r="N100" s="177">
        <f>N101+N102</f>
        <v>4246.8999999999996</v>
      </c>
      <c r="O100" s="129">
        <f>O101+O102</f>
        <v>0</v>
      </c>
      <c r="P100" s="183">
        <f>N100+O100</f>
        <v>4246.8999999999996</v>
      </c>
      <c r="Q100" s="177"/>
      <c r="R100" s="129">
        <f>R101+R102</f>
        <v>0</v>
      </c>
      <c r="S100" s="129">
        <f>S101+S102</f>
        <v>165.70000000000002</v>
      </c>
      <c r="T100" s="192"/>
      <c r="U100" s="131"/>
      <c r="V100" s="207"/>
      <c r="W100" s="202"/>
      <c r="X100" s="130"/>
      <c r="Y100" s="220"/>
      <c r="Z100" s="178"/>
      <c r="AA100" s="112"/>
      <c r="AB100" s="184"/>
      <c r="AC100" s="178"/>
      <c r="AD100" s="112"/>
      <c r="AE100" s="184"/>
      <c r="AF100" s="178"/>
      <c r="AG100" s="2"/>
      <c r="AH100" s="96"/>
      <c r="AI100" s="264">
        <f>I100-P100-S100</f>
        <v>0</v>
      </c>
    </row>
    <row r="101" spans="1:35" ht="21" customHeight="1" x14ac:dyDescent="0.3">
      <c r="A101" s="59"/>
      <c r="B101" s="6" t="s">
        <v>35</v>
      </c>
      <c r="C101" s="8"/>
      <c r="D101" s="7"/>
      <c r="E101" s="7"/>
      <c r="F101" s="12"/>
      <c r="G101" s="7"/>
      <c r="H101" s="137"/>
      <c r="I101" s="125"/>
      <c r="J101" s="126"/>
      <c r="K101" s="45"/>
      <c r="L101" s="127"/>
      <c r="M101" s="183">
        <v>0</v>
      </c>
      <c r="N101" s="177">
        <f>629.1-145.4</f>
        <v>483.70000000000005</v>
      </c>
      <c r="O101" s="129"/>
      <c r="P101" s="183">
        <f t="shared" ref="P101:P102" si="131">N101+O101</f>
        <v>483.70000000000005</v>
      </c>
      <c r="Q101" s="177">
        <v>145.4</v>
      </c>
      <c r="R101" s="129"/>
      <c r="S101" s="183">
        <f>Q101+R101</f>
        <v>145.4</v>
      </c>
      <c r="T101" s="192"/>
      <c r="U101" s="131"/>
      <c r="V101" s="207"/>
      <c r="W101" s="202"/>
      <c r="X101" s="130"/>
      <c r="Y101" s="220"/>
      <c r="Z101" s="178"/>
      <c r="AA101" s="112"/>
      <c r="AB101" s="184"/>
      <c r="AC101" s="178"/>
      <c r="AD101" s="112"/>
      <c r="AE101" s="184"/>
      <c r="AF101" s="178"/>
      <c r="AG101" s="2"/>
      <c r="AH101" s="96"/>
    </row>
    <row r="102" spans="1:35" ht="21" customHeight="1" x14ac:dyDescent="0.3">
      <c r="A102" s="59"/>
      <c r="B102" s="6" t="s">
        <v>36</v>
      </c>
      <c r="C102" s="8"/>
      <c r="D102" s="7"/>
      <c r="E102" s="7"/>
      <c r="F102" s="12"/>
      <c r="G102" s="7"/>
      <c r="H102" s="137"/>
      <c r="I102" s="125"/>
      <c r="J102" s="126"/>
      <c r="K102" s="45"/>
      <c r="L102" s="127"/>
      <c r="M102" s="183">
        <v>0</v>
      </c>
      <c r="N102" s="177">
        <f>3783.5-20.3</f>
        <v>3763.2</v>
      </c>
      <c r="O102" s="129"/>
      <c r="P102" s="183">
        <f t="shared" si="131"/>
        <v>3763.2</v>
      </c>
      <c r="Q102" s="177">
        <v>20.3</v>
      </c>
      <c r="R102" s="129"/>
      <c r="S102" s="183">
        <f>Q102+R102</f>
        <v>20.3</v>
      </c>
      <c r="T102" s="192"/>
      <c r="U102" s="131"/>
      <c r="V102" s="207"/>
      <c r="W102" s="202"/>
      <c r="X102" s="130"/>
      <c r="Y102" s="220"/>
      <c r="Z102" s="178"/>
      <c r="AA102" s="112"/>
      <c r="AB102" s="184"/>
      <c r="AC102" s="178"/>
      <c r="AD102" s="112"/>
      <c r="AE102" s="184"/>
      <c r="AF102" s="178"/>
      <c r="AG102" s="2"/>
      <c r="AH102" s="96"/>
    </row>
    <row r="103" spans="1:35" ht="76.5" customHeight="1" x14ac:dyDescent="0.3">
      <c r="A103" s="59"/>
      <c r="B103" s="365" t="s">
        <v>122</v>
      </c>
      <c r="C103" s="8"/>
      <c r="D103" s="7">
        <v>2020</v>
      </c>
      <c r="E103" s="7"/>
      <c r="F103" s="12"/>
      <c r="G103" s="7" t="s">
        <v>65</v>
      </c>
      <c r="H103" s="137"/>
      <c r="I103" s="367">
        <f>4523.1</f>
        <v>4523.1000000000004</v>
      </c>
      <c r="J103" s="126"/>
      <c r="K103" s="45"/>
      <c r="L103" s="127"/>
      <c r="M103" s="183"/>
      <c r="N103" s="177">
        <f>N104+N105</f>
        <v>930.1</v>
      </c>
      <c r="O103" s="129">
        <f>O104+O105</f>
        <v>0</v>
      </c>
      <c r="P103" s="183">
        <f>N103+O103</f>
        <v>930.1</v>
      </c>
      <c r="Q103" s="177">
        <f>Q104+Q105</f>
        <v>3593</v>
      </c>
      <c r="R103" s="129">
        <f>R104+R105</f>
        <v>0</v>
      </c>
      <c r="S103" s="129">
        <f>S104+S105</f>
        <v>3593</v>
      </c>
      <c r="T103" s="192"/>
      <c r="U103" s="131"/>
      <c r="V103" s="207"/>
      <c r="W103" s="202"/>
      <c r="X103" s="130"/>
      <c r="Y103" s="220"/>
      <c r="Z103" s="178"/>
      <c r="AA103" s="112"/>
      <c r="AB103" s="184"/>
      <c r="AC103" s="178"/>
      <c r="AD103" s="112"/>
      <c r="AE103" s="184"/>
      <c r="AF103" s="178"/>
      <c r="AG103" s="2"/>
      <c r="AH103" s="96"/>
      <c r="AI103" s="264">
        <f>I103-P103-S103</f>
        <v>0</v>
      </c>
    </row>
    <row r="104" spans="1:35" ht="21" customHeight="1" x14ac:dyDescent="0.3">
      <c r="A104" s="59"/>
      <c r="B104" s="6" t="s">
        <v>35</v>
      </c>
      <c r="C104" s="8"/>
      <c r="D104" s="7"/>
      <c r="E104" s="7"/>
      <c r="F104" s="12"/>
      <c r="G104" s="7"/>
      <c r="H104" s="137"/>
      <c r="I104" s="125"/>
      <c r="J104" s="126"/>
      <c r="K104" s="45"/>
      <c r="L104" s="127"/>
      <c r="M104" s="183"/>
      <c r="N104" s="177">
        <f>673.1-131</f>
        <v>542.1</v>
      </c>
      <c r="O104" s="129"/>
      <c r="P104" s="183">
        <f t="shared" ref="P104:P105" si="132">N104+O104</f>
        <v>542.1</v>
      </c>
      <c r="Q104" s="177">
        <v>131</v>
      </c>
      <c r="R104" s="129"/>
      <c r="S104" s="183">
        <f>Q104+R104</f>
        <v>131</v>
      </c>
      <c r="T104" s="192"/>
      <c r="U104" s="131"/>
      <c r="V104" s="207"/>
      <c r="W104" s="202"/>
      <c r="X104" s="130"/>
      <c r="Y104" s="220"/>
      <c r="Z104" s="178"/>
      <c r="AA104" s="112"/>
      <c r="AB104" s="184"/>
      <c r="AC104" s="178"/>
      <c r="AD104" s="112"/>
      <c r="AE104" s="184"/>
      <c r="AF104" s="178"/>
      <c r="AG104" s="2"/>
      <c r="AH104" s="96"/>
    </row>
    <row r="105" spans="1:35" ht="21" customHeight="1" x14ac:dyDescent="0.3">
      <c r="A105" s="59"/>
      <c r="B105" s="6" t="s">
        <v>36</v>
      </c>
      <c r="C105" s="8"/>
      <c r="D105" s="7"/>
      <c r="E105" s="7"/>
      <c r="F105" s="12"/>
      <c r="G105" s="7"/>
      <c r="H105" s="137"/>
      <c r="I105" s="125"/>
      <c r="J105" s="126"/>
      <c r="K105" s="45"/>
      <c r="L105" s="127"/>
      <c r="M105" s="183"/>
      <c r="N105" s="177">
        <f>3850-3462</f>
        <v>388</v>
      </c>
      <c r="O105" s="129"/>
      <c r="P105" s="183">
        <f t="shared" si="132"/>
        <v>388</v>
      </c>
      <c r="Q105" s="177">
        <v>3462</v>
      </c>
      <c r="R105" s="129"/>
      <c r="S105" s="183">
        <f>Q105+R105</f>
        <v>3462</v>
      </c>
      <c r="T105" s="192"/>
      <c r="U105" s="131"/>
      <c r="V105" s="207"/>
      <c r="W105" s="202"/>
      <c r="X105" s="130"/>
      <c r="Y105" s="220"/>
      <c r="Z105" s="178"/>
      <c r="AA105" s="112"/>
      <c r="AB105" s="184"/>
      <c r="AC105" s="178"/>
      <c r="AD105" s="112"/>
      <c r="AE105" s="184"/>
      <c r="AF105" s="178"/>
      <c r="AG105" s="2"/>
      <c r="AH105" s="96"/>
    </row>
    <row r="106" spans="1:35" ht="93" customHeight="1" x14ac:dyDescent="0.3">
      <c r="A106" s="59"/>
      <c r="B106" s="365" t="s">
        <v>113</v>
      </c>
      <c r="C106" s="8"/>
      <c r="D106" s="7">
        <v>2022</v>
      </c>
      <c r="E106" s="7"/>
      <c r="F106" s="12"/>
      <c r="G106" s="7" t="s">
        <v>71</v>
      </c>
      <c r="H106" s="137"/>
      <c r="I106" s="363">
        <f>21350</f>
        <v>21350</v>
      </c>
      <c r="J106" s="126"/>
      <c r="K106" s="45"/>
      <c r="L106" s="127"/>
      <c r="M106" s="183"/>
      <c r="N106" s="177">
        <v>0</v>
      </c>
      <c r="O106" s="129">
        <f>O107+O108</f>
        <v>0</v>
      </c>
      <c r="P106" s="183">
        <f>N106+O106</f>
        <v>0</v>
      </c>
      <c r="Q106" s="177">
        <f>Q107+Q108</f>
        <v>18935.599999999999</v>
      </c>
      <c r="R106" s="129">
        <f t="shared" ref="R106:S106" si="133">R107+R108</f>
        <v>-16435.599999999999</v>
      </c>
      <c r="S106" s="292">
        <f t="shared" si="133"/>
        <v>2500</v>
      </c>
      <c r="T106" s="177">
        <f>T107+T108</f>
        <v>0</v>
      </c>
      <c r="U106" s="129">
        <f t="shared" ref="U106:V106" si="134">U107+U108</f>
        <v>18850</v>
      </c>
      <c r="V106" s="292">
        <f t="shared" si="134"/>
        <v>18850</v>
      </c>
      <c r="W106" s="202"/>
      <c r="X106" s="130"/>
      <c r="Y106" s="220"/>
      <c r="Z106" s="178"/>
      <c r="AA106" s="112"/>
      <c r="AB106" s="184"/>
      <c r="AC106" s="178"/>
      <c r="AD106" s="112"/>
      <c r="AE106" s="184"/>
      <c r="AF106" s="178"/>
      <c r="AG106" s="2"/>
      <c r="AH106" s="96"/>
      <c r="AI106" s="264">
        <f>I106-P106-S106-V106</f>
        <v>0</v>
      </c>
    </row>
    <row r="107" spans="1:35" ht="21" customHeight="1" x14ac:dyDescent="0.3">
      <c r="A107" s="59"/>
      <c r="B107" s="6" t="s">
        <v>35</v>
      </c>
      <c r="C107" s="8"/>
      <c r="D107" s="7"/>
      <c r="E107" s="7"/>
      <c r="F107" s="12"/>
      <c r="G107" s="7"/>
      <c r="H107" s="137"/>
      <c r="I107" s="125"/>
      <c r="J107" s="126"/>
      <c r="K107" s="45"/>
      <c r="L107" s="127"/>
      <c r="M107" s="183"/>
      <c r="N107" s="177">
        <f>1953-40-1395.6</f>
        <v>517.40000000000009</v>
      </c>
      <c r="O107" s="129"/>
      <c r="P107" s="183">
        <f t="shared" ref="P107:P108" si="135">N107+O107</f>
        <v>517.40000000000009</v>
      </c>
      <c r="Q107" s="177">
        <f>40+1395.6</f>
        <v>1435.6</v>
      </c>
      <c r="R107" s="129">
        <v>1064.4000000000001</v>
      </c>
      <c r="S107" s="183">
        <f>Q107+R107</f>
        <v>2500</v>
      </c>
      <c r="T107" s="177">
        <v>0</v>
      </c>
      <c r="U107" s="129">
        <v>50</v>
      </c>
      <c r="V107" s="183">
        <f>T107+U107</f>
        <v>50</v>
      </c>
      <c r="W107" s="202"/>
      <c r="X107" s="130"/>
      <c r="Y107" s="220"/>
      <c r="Z107" s="178"/>
      <c r="AA107" s="112"/>
      <c r="AB107" s="184"/>
      <c r="AC107" s="178"/>
      <c r="AD107" s="112"/>
      <c r="AE107" s="184"/>
      <c r="AF107" s="178"/>
      <c r="AG107" s="2"/>
      <c r="AH107" s="96"/>
    </row>
    <row r="108" spans="1:35" ht="21" customHeight="1" thickBot="1" x14ac:dyDescent="0.35">
      <c r="A108" s="59"/>
      <c r="B108" s="6" t="s">
        <v>36</v>
      </c>
      <c r="C108" s="8"/>
      <c r="D108" s="7"/>
      <c r="E108" s="7"/>
      <c r="F108" s="12"/>
      <c r="G108" s="7"/>
      <c r="H108" s="137"/>
      <c r="I108" s="125"/>
      <c r="J108" s="126"/>
      <c r="K108" s="45"/>
      <c r="L108" s="127"/>
      <c r="M108" s="183"/>
      <c r="N108" s="177">
        <f>17500-17500</f>
        <v>0</v>
      </c>
      <c r="O108" s="129"/>
      <c r="P108" s="183">
        <f t="shared" si="135"/>
        <v>0</v>
      </c>
      <c r="Q108" s="177">
        <v>17500</v>
      </c>
      <c r="R108" s="129">
        <v>-17500</v>
      </c>
      <c r="S108" s="183">
        <f>Q108+R108</f>
        <v>0</v>
      </c>
      <c r="T108" s="177">
        <v>0</v>
      </c>
      <c r="U108" s="129">
        <v>18800</v>
      </c>
      <c r="V108" s="183">
        <f>T108+U108</f>
        <v>18800</v>
      </c>
      <c r="W108" s="202"/>
      <c r="X108" s="130"/>
      <c r="Y108" s="220"/>
      <c r="Z108" s="178"/>
      <c r="AA108" s="112"/>
      <c r="AB108" s="184"/>
      <c r="AC108" s="178"/>
      <c r="AD108" s="112"/>
      <c r="AE108" s="184"/>
      <c r="AF108" s="178"/>
      <c r="AG108" s="2"/>
      <c r="AH108" s="96"/>
    </row>
    <row r="109" spans="1:35" ht="107.25" customHeight="1" thickBot="1" x14ac:dyDescent="0.35">
      <c r="A109" s="59"/>
      <c r="B109" s="368" t="s">
        <v>123</v>
      </c>
      <c r="C109" s="8"/>
      <c r="D109" s="7">
        <v>2021</v>
      </c>
      <c r="E109" s="7"/>
      <c r="F109" s="12"/>
      <c r="G109" s="7"/>
      <c r="H109" s="137"/>
      <c r="I109" s="125">
        <v>4955</v>
      </c>
      <c r="J109" s="126"/>
      <c r="K109" s="45"/>
      <c r="L109" s="127"/>
      <c r="M109" s="183"/>
      <c r="N109" s="177"/>
      <c r="O109" s="129"/>
      <c r="P109" s="183"/>
      <c r="Q109" s="177">
        <f>Q110+Q111</f>
        <v>4955</v>
      </c>
      <c r="R109" s="177">
        <f t="shared" ref="R109:S109" si="136">R110+R111</f>
        <v>0</v>
      </c>
      <c r="S109" s="183">
        <f t="shared" si="136"/>
        <v>4955</v>
      </c>
      <c r="T109" s="192"/>
      <c r="U109" s="131"/>
      <c r="V109" s="207"/>
      <c r="W109" s="202"/>
      <c r="X109" s="202"/>
      <c r="Y109" s="220"/>
      <c r="Z109" s="178"/>
      <c r="AA109" s="178"/>
      <c r="AB109" s="184"/>
      <c r="AC109" s="178"/>
      <c r="AD109" s="112"/>
      <c r="AE109" s="184"/>
      <c r="AF109" s="178"/>
      <c r="AG109" s="2"/>
      <c r="AH109" s="96"/>
    </row>
    <row r="110" spans="1:35" ht="21" customHeight="1" x14ac:dyDescent="0.3">
      <c r="A110" s="59"/>
      <c r="B110" s="26" t="s">
        <v>22</v>
      </c>
      <c r="C110" s="27"/>
      <c r="D110" s="28"/>
      <c r="E110" s="28"/>
      <c r="F110" s="34"/>
      <c r="G110" s="28"/>
      <c r="H110" s="138"/>
      <c r="I110" s="272"/>
      <c r="J110" s="273"/>
      <c r="K110" s="274"/>
      <c r="L110" s="275"/>
      <c r="M110" s="276"/>
      <c r="N110" s="277"/>
      <c r="O110" s="278"/>
      <c r="P110" s="276"/>
      <c r="Q110" s="277"/>
      <c r="R110" s="278"/>
      <c r="S110" s="276"/>
      <c r="T110" s="280"/>
      <c r="U110" s="281"/>
      <c r="V110" s="282"/>
      <c r="W110" s="283"/>
      <c r="X110" s="283"/>
      <c r="Y110" s="284"/>
      <c r="Z110" s="198"/>
      <c r="AA110" s="198"/>
      <c r="AB110" s="216"/>
      <c r="AC110" s="198"/>
      <c r="AD110" s="113"/>
      <c r="AE110" s="216"/>
      <c r="AF110" s="198"/>
      <c r="AG110" s="232"/>
      <c r="AH110" s="235"/>
    </row>
    <row r="111" spans="1:35" ht="21" customHeight="1" x14ac:dyDescent="0.3">
      <c r="A111" s="59"/>
      <c r="B111" s="6" t="s">
        <v>23</v>
      </c>
      <c r="C111" s="8"/>
      <c r="D111" s="7"/>
      <c r="E111" s="7"/>
      <c r="F111" s="12"/>
      <c r="G111" s="7"/>
      <c r="H111" s="137"/>
      <c r="I111" s="125"/>
      <c r="J111" s="126"/>
      <c r="K111" s="45"/>
      <c r="L111" s="127"/>
      <c r="M111" s="183"/>
      <c r="N111" s="177"/>
      <c r="O111" s="129"/>
      <c r="P111" s="183"/>
      <c r="Q111" s="177">
        <f>Q112+Q113</f>
        <v>4955</v>
      </c>
      <c r="R111" s="177">
        <f t="shared" ref="R111:S111" si="137">R112+R113</f>
        <v>0</v>
      </c>
      <c r="S111" s="183">
        <f t="shared" si="137"/>
        <v>4955</v>
      </c>
      <c r="T111" s="192"/>
      <c r="U111" s="131"/>
      <c r="V111" s="207"/>
      <c r="W111" s="202"/>
      <c r="X111" s="202"/>
      <c r="Y111" s="220"/>
      <c r="Z111" s="178"/>
      <c r="AA111" s="178"/>
      <c r="AB111" s="184"/>
      <c r="AC111" s="178"/>
      <c r="AD111" s="112"/>
      <c r="AE111" s="184"/>
      <c r="AF111" s="178"/>
      <c r="AG111" s="2"/>
      <c r="AH111" s="96"/>
    </row>
    <row r="112" spans="1:35" ht="21" customHeight="1" x14ac:dyDescent="0.3">
      <c r="A112" s="59"/>
      <c r="B112" s="6" t="s">
        <v>35</v>
      </c>
      <c r="C112" s="8"/>
      <c r="D112" s="7"/>
      <c r="E112" s="7"/>
      <c r="F112" s="12"/>
      <c r="G112" s="7"/>
      <c r="H112" s="137"/>
      <c r="I112" s="125"/>
      <c r="J112" s="126"/>
      <c r="K112" s="45"/>
      <c r="L112" s="127"/>
      <c r="M112" s="183"/>
      <c r="N112" s="177"/>
      <c r="O112" s="129"/>
      <c r="P112" s="183"/>
      <c r="Q112" s="129">
        <v>715</v>
      </c>
      <c r="R112" s="129"/>
      <c r="S112" s="183">
        <f>Q112+R112</f>
        <v>715</v>
      </c>
      <c r="T112" s="192"/>
      <c r="U112" s="131"/>
      <c r="V112" s="207"/>
      <c r="W112" s="202"/>
      <c r="X112" s="202"/>
      <c r="Y112" s="220"/>
      <c r="Z112" s="178"/>
      <c r="AA112" s="178"/>
      <c r="AB112" s="184"/>
      <c r="AC112" s="178"/>
      <c r="AD112" s="112"/>
      <c r="AE112" s="184"/>
      <c r="AF112" s="178"/>
      <c r="AG112" s="2"/>
      <c r="AH112" s="96"/>
    </row>
    <row r="113" spans="1:34" ht="21" customHeight="1" x14ac:dyDescent="0.3">
      <c r="A113" s="59"/>
      <c r="B113" s="6" t="s">
        <v>44</v>
      </c>
      <c r="C113" s="8"/>
      <c r="D113" s="7"/>
      <c r="E113" s="7"/>
      <c r="F113" s="12"/>
      <c r="G113" s="7"/>
      <c r="H113" s="137"/>
      <c r="I113" s="125"/>
      <c r="J113" s="126"/>
      <c r="K113" s="45"/>
      <c r="L113" s="127"/>
      <c r="M113" s="183"/>
      <c r="N113" s="177"/>
      <c r="O113" s="129"/>
      <c r="P113" s="183"/>
      <c r="Q113" s="129">
        <v>4240</v>
      </c>
      <c r="R113" s="129"/>
      <c r="S113" s="183">
        <f>Q113+R113</f>
        <v>4240</v>
      </c>
      <c r="T113" s="192"/>
      <c r="U113" s="131"/>
      <c r="V113" s="207"/>
      <c r="W113" s="202"/>
      <c r="X113" s="202"/>
      <c r="Y113" s="220"/>
      <c r="Z113" s="178"/>
      <c r="AA113" s="178"/>
      <c r="AB113" s="184"/>
      <c r="AC113" s="178"/>
      <c r="AD113" s="112"/>
      <c r="AE113" s="184"/>
      <c r="AF113" s="178"/>
      <c r="AG113" s="2"/>
      <c r="AH113" s="96"/>
    </row>
    <row r="114" spans="1:34" ht="108.75" customHeight="1" thickBot="1" x14ac:dyDescent="0.35">
      <c r="A114" s="59"/>
      <c r="B114" s="369" t="s">
        <v>124</v>
      </c>
      <c r="C114" s="8"/>
      <c r="D114" s="7">
        <v>2021</v>
      </c>
      <c r="E114" s="7"/>
      <c r="F114" s="12"/>
      <c r="G114" s="7"/>
      <c r="H114" s="137"/>
      <c r="I114" s="125">
        <v>4985</v>
      </c>
      <c r="J114" s="126"/>
      <c r="K114" s="45"/>
      <c r="L114" s="127"/>
      <c r="M114" s="183"/>
      <c r="N114" s="177"/>
      <c r="O114" s="129"/>
      <c r="P114" s="183"/>
      <c r="Q114" s="177">
        <f>Q115+Q116</f>
        <v>4985</v>
      </c>
      <c r="R114" s="177">
        <f t="shared" ref="R114:S114" si="138">R115+R116</f>
        <v>0</v>
      </c>
      <c r="S114" s="183">
        <f t="shared" si="138"/>
        <v>4985</v>
      </c>
      <c r="T114" s="192"/>
      <c r="U114" s="131"/>
      <c r="V114" s="207"/>
      <c r="W114" s="202"/>
      <c r="X114" s="202"/>
      <c r="Y114" s="220"/>
      <c r="Z114" s="178"/>
      <c r="AA114" s="178"/>
      <c r="AB114" s="184"/>
      <c r="AC114" s="178"/>
      <c r="AD114" s="112"/>
      <c r="AE114" s="184"/>
      <c r="AF114" s="178"/>
      <c r="AG114" s="2"/>
      <c r="AH114" s="96"/>
    </row>
    <row r="115" spans="1:34" ht="21" customHeight="1" x14ac:dyDescent="0.3">
      <c r="A115" s="59"/>
      <c r="B115" s="26" t="s">
        <v>22</v>
      </c>
      <c r="C115" s="27"/>
      <c r="D115" s="28"/>
      <c r="E115" s="28"/>
      <c r="F115" s="34"/>
      <c r="G115" s="28"/>
      <c r="H115" s="138"/>
      <c r="I115" s="272"/>
      <c r="J115" s="273"/>
      <c r="K115" s="274"/>
      <c r="L115" s="275"/>
      <c r="M115" s="276"/>
      <c r="N115" s="277"/>
      <c r="O115" s="278"/>
      <c r="P115" s="276"/>
      <c r="Q115" s="279"/>
      <c r="R115" s="278"/>
      <c r="S115" s="276"/>
      <c r="T115" s="280"/>
      <c r="U115" s="281"/>
      <c r="V115" s="282"/>
      <c r="W115" s="283"/>
      <c r="X115" s="283"/>
      <c r="Y115" s="284"/>
      <c r="Z115" s="198"/>
      <c r="AA115" s="198"/>
      <c r="AB115" s="216"/>
      <c r="AC115" s="198"/>
      <c r="AD115" s="113"/>
      <c r="AE115" s="216"/>
      <c r="AF115" s="198"/>
      <c r="AG115" s="232"/>
      <c r="AH115" s="235"/>
    </row>
    <row r="116" spans="1:34" ht="21" customHeight="1" x14ac:dyDescent="0.3">
      <c r="A116" s="59"/>
      <c r="B116" s="6" t="s">
        <v>23</v>
      </c>
      <c r="C116" s="8"/>
      <c r="D116" s="7"/>
      <c r="E116" s="7"/>
      <c r="F116" s="12"/>
      <c r="G116" s="7"/>
      <c r="H116" s="137"/>
      <c r="I116" s="125"/>
      <c r="J116" s="126"/>
      <c r="K116" s="45"/>
      <c r="L116" s="127"/>
      <c r="M116" s="183"/>
      <c r="N116" s="177"/>
      <c r="O116" s="129"/>
      <c r="P116" s="183"/>
      <c r="Q116" s="188">
        <f>Q117+Q118</f>
        <v>4985</v>
      </c>
      <c r="R116" s="188">
        <f t="shared" ref="R116:S116" si="139">R117+R118</f>
        <v>0</v>
      </c>
      <c r="S116" s="250">
        <f t="shared" si="139"/>
        <v>4985</v>
      </c>
      <c r="T116" s="192"/>
      <c r="U116" s="131"/>
      <c r="V116" s="207"/>
      <c r="W116" s="202"/>
      <c r="X116" s="202"/>
      <c r="Y116" s="220"/>
      <c r="Z116" s="178"/>
      <c r="AA116" s="178"/>
      <c r="AB116" s="184"/>
      <c r="AC116" s="178"/>
      <c r="AD116" s="112"/>
      <c r="AE116" s="184"/>
      <c r="AF116" s="178"/>
      <c r="AG116" s="2"/>
      <c r="AH116" s="96"/>
    </row>
    <row r="117" spans="1:34" ht="21" customHeight="1" x14ac:dyDescent="0.3">
      <c r="A117" s="59"/>
      <c r="B117" s="6" t="s">
        <v>35</v>
      </c>
      <c r="C117" s="8"/>
      <c r="D117" s="7"/>
      <c r="E117" s="7"/>
      <c r="F117" s="12"/>
      <c r="G117" s="7"/>
      <c r="H117" s="137"/>
      <c r="I117" s="125"/>
      <c r="J117" s="126"/>
      <c r="K117" s="45"/>
      <c r="L117" s="127"/>
      <c r="M117" s="183"/>
      <c r="N117" s="177"/>
      <c r="O117" s="129"/>
      <c r="P117" s="183"/>
      <c r="Q117" s="128">
        <v>725</v>
      </c>
      <c r="R117" s="128"/>
      <c r="S117" s="250">
        <f>Q117+R117</f>
        <v>725</v>
      </c>
      <c r="T117" s="192"/>
      <c r="U117" s="131"/>
      <c r="V117" s="207"/>
      <c r="W117" s="202"/>
      <c r="X117" s="202"/>
      <c r="Y117" s="220"/>
      <c r="Z117" s="178"/>
      <c r="AA117" s="178"/>
      <c r="AB117" s="184"/>
      <c r="AC117" s="178"/>
      <c r="AD117" s="112"/>
      <c r="AE117" s="184"/>
      <c r="AF117" s="178"/>
      <c r="AG117" s="2"/>
      <c r="AH117" s="96"/>
    </row>
    <row r="118" spans="1:34" ht="21" customHeight="1" x14ac:dyDescent="0.3">
      <c r="A118" s="59"/>
      <c r="B118" s="6" t="s">
        <v>44</v>
      </c>
      <c r="C118" s="8"/>
      <c r="D118" s="7"/>
      <c r="E118" s="7"/>
      <c r="F118" s="12"/>
      <c r="G118" s="7"/>
      <c r="H118" s="137"/>
      <c r="I118" s="125"/>
      <c r="J118" s="126"/>
      <c r="K118" s="45"/>
      <c r="L118" s="127"/>
      <c r="M118" s="183"/>
      <c r="N118" s="177"/>
      <c r="O118" s="129"/>
      <c r="P118" s="183"/>
      <c r="Q118" s="128">
        <v>4260</v>
      </c>
      <c r="R118" s="128"/>
      <c r="S118" s="250">
        <f>Q118+R118</f>
        <v>4260</v>
      </c>
      <c r="T118" s="192"/>
      <c r="U118" s="131"/>
      <c r="V118" s="207"/>
      <c r="W118" s="202"/>
      <c r="X118" s="202"/>
      <c r="Y118" s="220"/>
      <c r="Z118" s="178"/>
      <c r="AA118" s="178"/>
      <c r="AB118" s="184"/>
      <c r="AC118" s="178"/>
      <c r="AD118" s="112"/>
      <c r="AE118" s="184"/>
      <c r="AF118" s="178"/>
      <c r="AG118" s="2"/>
      <c r="AH118" s="96"/>
    </row>
    <row r="119" spans="1:34" ht="90.75" customHeight="1" x14ac:dyDescent="0.3">
      <c r="A119" s="59"/>
      <c r="B119" s="370" t="s">
        <v>125</v>
      </c>
      <c r="C119" s="8"/>
      <c r="D119" s="7">
        <v>2021</v>
      </c>
      <c r="E119" s="7"/>
      <c r="F119" s="12"/>
      <c r="G119" s="7"/>
      <c r="H119" s="137"/>
      <c r="I119" s="125">
        <v>4990</v>
      </c>
      <c r="J119" s="126"/>
      <c r="K119" s="45"/>
      <c r="L119" s="127"/>
      <c r="M119" s="183"/>
      <c r="N119" s="177"/>
      <c r="O119" s="129"/>
      <c r="P119" s="183"/>
      <c r="Q119" s="177">
        <f>Q120+Q121</f>
        <v>4990</v>
      </c>
      <c r="R119" s="177">
        <f t="shared" ref="R119:S119" si="140">R120+R121</f>
        <v>-4990</v>
      </c>
      <c r="S119" s="183">
        <f t="shared" si="140"/>
        <v>0</v>
      </c>
      <c r="T119" s="192"/>
      <c r="U119" s="131"/>
      <c r="V119" s="207"/>
      <c r="W119" s="202"/>
      <c r="X119" s="202"/>
      <c r="Y119" s="220"/>
      <c r="Z119" s="178"/>
      <c r="AA119" s="178"/>
      <c r="AB119" s="184"/>
      <c r="AC119" s="178"/>
      <c r="AD119" s="112"/>
      <c r="AE119" s="184"/>
      <c r="AF119" s="178"/>
      <c r="AG119" s="2"/>
      <c r="AH119" s="96"/>
    </row>
    <row r="120" spans="1:34" ht="21" customHeight="1" x14ac:dyDescent="0.3">
      <c r="A120" s="59"/>
      <c r="B120" s="26" t="s">
        <v>22</v>
      </c>
      <c r="C120" s="27"/>
      <c r="D120" s="28"/>
      <c r="E120" s="28"/>
      <c r="F120" s="34"/>
      <c r="G120" s="28"/>
      <c r="H120" s="138"/>
      <c r="I120" s="272"/>
      <c r="J120" s="273"/>
      <c r="K120" s="274"/>
      <c r="L120" s="275"/>
      <c r="M120" s="276"/>
      <c r="N120" s="277"/>
      <c r="O120" s="278"/>
      <c r="P120" s="276"/>
      <c r="Q120" s="279"/>
      <c r="R120" s="278"/>
      <c r="S120" s="276"/>
      <c r="T120" s="280"/>
      <c r="U120" s="281"/>
      <c r="V120" s="282"/>
      <c r="W120" s="283"/>
      <c r="X120" s="283"/>
      <c r="Y120" s="284"/>
      <c r="Z120" s="198"/>
      <c r="AA120" s="198"/>
      <c r="AB120" s="216"/>
      <c r="AC120" s="198"/>
      <c r="AD120" s="113"/>
      <c r="AE120" s="216"/>
      <c r="AF120" s="198"/>
      <c r="AG120" s="232"/>
      <c r="AH120" s="235"/>
    </row>
    <row r="121" spans="1:34" ht="21" customHeight="1" x14ac:dyDescent="0.3">
      <c r="A121" s="59"/>
      <c r="B121" s="6" t="s">
        <v>23</v>
      </c>
      <c r="C121" s="8"/>
      <c r="D121" s="7"/>
      <c r="E121" s="7"/>
      <c r="F121" s="12"/>
      <c r="G121" s="7"/>
      <c r="H121" s="137"/>
      <c r="I121" s="125"/>
      <c r="J121" s="126"/>
      <c r="K121" s="45"/>
      <c r="L121" s="127"/>
      <c r="M121" s="183"/>
      <c r="N121" s="177"/>
      <c r="O121" s="129"/>
      <c r="P121" s="183"/>
      <c r="Q121" s="177">
        <f>Q122+Q123</f>
        <v>4990</v>
      </c>
      <c r="R121" s="177">
        <f t="shared" ref="R121:S121" si="141">R122+R123</f>
        <v>-4990</v>
      </c>
      <c r="S121" s="183">
        <f t="shared" si="141"/>
        <v>0</v>
      </c>
      <c r="T121" s="192"/>
      <c r="U121" s="131"/>
      <c r="V121" s="207"/>
      <c r="W121" s="202"/>
      <c r="X121" s="202"/>
      <c r="Y121" s="220"/>
      <c r="Z121" s="178"/>
      <c r="AA121" s="178"/>
      <c r="AB121" s="184"/>
      <c r="AC121" s="178"/>
      <c r="AD121" s="112"/>
      <c r="AE121" s="184"/>
      <c r="AF121" s="178"/>
      <c r="AG121" s="2"/>
      <c r="AH121" s="96"/>
    </row>
    <row r="122" spans="1:34" ht="21" customHeight="1" x14ac:dyDescent="0.3">
      <c r="A122" s="59"/>
      <c r="B122" s="6" t="s">
        <v>35</v>
      </c>
      <c r="C122" s="8"/>
      <c r="D122" s="7"/>
      <c r="E122" s="7"/>
      <c r="F122" s="12"/>
      <c r="G122" s="7"/>
      <c r="H122" s="137"/>
      <c r="I122" s="125"/>
      <c r="J122" s="126"/>
      <c r="K122" s="45"/>
      <c r="L122" s="127"/>
      <c r="M122" s="183"/>
      <c r="N122" s="177"/>
      <c r="O122" s="129"/>
      <c r="P122" s="183"/>
      <c r="Q122" s="129">
        <v>740</v>
      </c>
      <c r="R122" s="129">
        <v>-740</v>
      </c>
      <c r="S122" s="183">
        <f>Q122+R122</f>
        <v>0</v>
      </c>
      <c r="T122" s="192"/>
      <c r="U122" s="131"/>
      <c r="V122" s="207"/>
      <c r="W122" s="202"/>
      <c r="X122" s="202"/>
      <c r="Y122" s="220"/>
      <c r="Z122" s="178"/>
      <c r="AA122" s="178"/>
      <c r="AB122" s="184"/>
      <c r="AC122" s="178"/>
      <c r="AD122" s="112"/>
      <c r="AE122" s="184"/>
      <c r="AF122" s="178"/>
      <c r="AG122" s="2"/>
      <c r="AH122" s="96"/>
    </row>
    <row r="123" spans="1:34" ht="21" customHeight="1" x14ac:dyDescent="0.3">
      <c r="A123" s="59"/>
      <c r="B123" s="6" t="s">
        <v>44</v>
      </c>
      <c r="C123" s="8"/>
      <c r="D123" s="7"/>
      <c r="E123" s="7"/>
      <c r="F123" s="12"/>
      <c r="G123" s="7"/>
      <c r="H123" s="137"/>
      <c r="I123" s="125"/>
      <c r="J123" s="126"/>
      <c r="K123" s="45"/>
      <c r="L123" s="127"/>
      <c r="M123" s="183"/>
      <c r="N123" s="177"/>
      <c r="O123" s="129"/>
      <c r="P123" s="183"/>
      <c r="Q123" s="129">
        <v>4250</v>
      </c>
      <c r="R123" s="129">
        <v>-4250</v>
      </c>
      <c r="S123" s="183">
        <f>Q123+R123</f>
        <v>0</v>
      </c>
      <c r="T123" s="192"/>
      <c r="U123" s="131"/>
      <c r="V123" s="207"/>
      <c r="W123" s="202"/>
      <c r="X123" s="202"/>
      <c r="Y123" s="220"/>
      <c r="Z123" s="178"/>
      <c r="AA123" s="178"/>
      <c r="AB123" s="184"/>
      <c r="AC123" s="178"/>
      <c r="AD123" s="112"/>
      <c r="AE123" s="184"/>
      <c r="AF123" s="178"/>
      <c r="AG123" s="2"/>
      <c r="AH123" s="96"/>
    </row>
    <row r="124" spans="1:34" ht="84" customHeight="1" x14ac:dyDescent="0.3">
      <c r="A124" s="59"/>
      <c r="B124" s="371" t="s">
        <v>138</v>
      </c>
      <c r="C124" s="8"/>
      <c r="D124" s="7"/>
      <c r="E124" s="7"/>
      <c r="F124" s="12"/>
      <c r="G124" s="7"/>
      <c r="H124" s="137"/>
      <c r="I124" s="366">
        <v>4990</v>
      </c>
      <c r="J124" s="126"/>
      <c r="K124" s="45"/>
      <c r="L124" s="127"/>
      <c r="M124" s="183"/>
      <c r="N124" s="177"/>
      <c r="O124" s="129"/>
      <c r="P124" s="183"/>
      <c r="Q124" s="177"/>
      <c r="R124" s="177">
        <f>R125+R126</f>
        <v>4990</v>
      </c>
      <c r="S124" s="177">
        <f>S125+S126</f>
        <v>4990</v>
      </c>
      <c r="T124" s="192"/>
      <c r="U124" s="131"/>
      <c r="V124" s="207"/>
      <c r="W124" s="202"/>
      <c r="X124" s="202"/>
      <c r="Y124" s="220"/>
      <c r="Z124" s="178"/>
      <c r="AA124" s="178"/>
      <c r="AB124" s="184"/>
      <c r="AC124" s="178"/>
      <c r="AD124" s="178"/>
      <c r="AE124" s="184"/>
      <c r="AF124" s="178"/>
      <c r="AG124" s="87"/>
      <c r="AH124" s="96"/>
    </row>
    <row r="125" spans="1:34" ht="21" customHeight="1" x14ac:dyDescent="0.3">
      <c r="A125" s="59"/>
      <c r="B125" s="26" t="s">
        <v>22</v>
      </c>
      <c r="C125" s="8"/>
      <c r="D125" s="28"/>
      <c r="E125" s="28"/>
      <c r="F125" s="34"/>
      <c r="G125" s="28"/>
      <c r="H125" s="138"/>
      <c r="I125" s="272"/>
      <c r="J125" s="273"/>
      <c r="K125" s="274"/>
      <c r="L125" s="275"/>
      <c r="M125" s="276"/>
      <c r="N125" s="277"/>
      <c r="O125" s="278"/>
      <c r="P125" s="276"/>
      <c r="Q125" s="277"/>
      <c r="R125" s="277"/>
      <c r="S125" s="276"/>
      <c r="T125" s="280"/>
      <c r="U125" s="281"/>
      <c r="V125" s="282"/>
      <c r="W125" s="283"/>
      <c r="X125" s="283"/>
      <c r="Y125" s="284"/>
      <c r="Z125" s="198"/>
      <c r="AA125" s="198"/>
      <c r="AB125" s="216"/>
      <c r="AC125" s="198"/>
      <c r="AD125" s="198"/>
      <c r="AE125" s="216"/>
      <c r="AF125" s="198"/>
      <c r="AG125" s="372"/>
      <c r="AH125" s="235"/>
    </row>
    <row r="126" spans="1:34" ht="21" customHeight="1" x14ac:dyDescent="0.3">
      <c r="A126" s="59"/>
      <c r="B126" s="6" t="s">
        <v>23</v>
      </c>
      <c r="C126" s="8"/>
      <c r="D126" s="7"/>
      <c r="E126" s="7"/>
      <c r="F126" s="12"/>
      <c r="G126" s="7"/>
      <c r="H126" s="137"/>
      <c r="I126" s="125"/>
      <c r="J126" s="126"/>
      <c r="K126" s="45"/>
      <c r="L126" s="127"/>
      <c r="M126" s="183"/>
      <c r="N126" s="177"/>
      <c r="O126" s="129"/>
      <c r="P126" s="183"/>
      <c r="Q126" s="177"/>
      <c r="R126" s="177">
        <f>R127+R128</f>
        <v>4990</v>
      </c>
      <c r="S126" s="183">
        <f>Q126+R126</f>
        <v>4990</v>
      </c>
      <c r="T126" s="192"/>
      <c r="U126" s="131"/>
      <c r="V126" s="207"/>
      <c r="W126" s="202"/>
      <c r="X126" s="202"/>
      <c r="Y126" s="220"/>
      <c r="Z126" s="178"/>
      <c r="AA126" s="178"/>
      <c r="AB126" s="184"/>
      <c r="AC126" s="178"/>
      <c r="AD126" s="178"/>
      <c r="AE126" s="184"/>
      <c r="AF126" s="178"/>
      <c r="AG126" s="87"/>
      <c r="AH126" s="96"/>
    </row>
    <row r="127" spans="1:34" ht="21" customHeight="1" x14ac:dyDescent="0.3">
      <c r="A127" s="59"/>
      <c r="B127" s="6" t="s">
        <v>35</v>
      </c>
      <c r="C127" s="8"/>
      <c r="D127" s="7"/>
      <c r="E127" s="7"/>
      <c r="F127" s="12"/>
      <c r="G127" s="7"/>
      <c r="H127" s="137"/>
      <c r="I127" s="125"/>
      <c r="J127" s="126"/>
      <c r="K127" s="45"/>
      <c r="L127" s="127"/>
      <c r="M127" s="183"/>
      <c r="N127" s="177"/>
      <c r="O127" s="129"/>
      <c r="P127" s="183"/>
      <c r="Q127" s="177"/>
      <c r="R127" s="129">
        <v>740</v>
      </c>
      <c r="S127" s="183">
        <f>Q127+R127</f>
        <v>740</v>
      </c>
      <c r="T127" s="192"/>
      <c r="U127" s="131"/>
      <c r="V127" s="207"/>
      <c r="W127" s="202"/>
      <c r="X127" s="202"/>
      <c r="Y127" s="220"/>
      <c r="Z127" s="178"/>
      <c r="AA127" s="178"/>
      <c r="AB127" s="184"/>
      <c r="AC127" s="178"/>
      <c r="AD127" s="178"/>
      <c r="AE127" s="184"/>
      <c r="AF127" s="178"/>
      <c r="AG127" s="87"/>
      <c r="AH127" s="96"/>
    </row>
    <row r="128" spans="1:34" ht="21" customHeight="1" x14ac:dyDescent="0.3">
      <c r="A128" s="59"/>
      <c r="B128" s="6" t="s">
        <v>44</v>
      </c>
      <c r="C128" s="8"/>
      <c r="D128" s="7"/>
      <c r="E128" s="7"/>
      <c r="F128" s="12"/>
      <c r="G128" s="7"/>
      <c r="H128" s="137"/>
      <c r="I128" s="125"/>
      <c r="J128" s="126"/>
      <c r="K128" s="45"/>
      <c r="L128" s="127"/>
      <c r="M128" s="183"/>
      <c r="N128" s="177"/>
      <c r="O128" s="129"/>
      <c r="P128" s="183"/>
      <c r="Q128" s="188"/>
      <c r="R128" s="129">
        <v>4250</v>
      </c>
      <c r="S128" s="183">
        <f>Q128+R128</f>
        <v>4250</v>
      </c>
      <c r="T128" s="192"/>
      <c r="U128" s="131"/>
      <c r="V128" s="207"/>
      <c r="W128" s="202"/>
      <c r="X128" s="202"/>
      <c r="Y128" s="220"/>
      <c r="Z128" s="178"/>
      <c r="AA128" s="178"/>
      <c r="AB128" s="184"/>
      <c r="AC128" s="178"/>
      <c r="AD128" s="178"/>
      <c r="AE128" s="184"/>
      <c r="AF128" s="178"/>
      <c r="AG128" s="87"/>
      <c r="AH128" s="96"/>
    </row>
    <row r="129" spans="1:35" s="158" customFormat="1" ht="121.5" customHeight="1" x14ac:dyDescent="0.3">
      <c r="A129" s="343">
        <v>46</v>
      </c>
      <c r="B129" s="357" t="s">
        <v>80</v>
      </c>
      <c r="C129" s="46"/>
      <c r="D129" s="14">
        <v>2026</v>
      </c>
      <c r="E129" s="345">
        <v>6.62</v>
      </c>
      <c r="F129" s="243">
        <v>850</v>
      </c>
      <c r="G129" s="14">
        <v>12.55</v>
      </c>
      <c r="H129" s="140"/>
      <c r="I129" s="91">
        <v>4890055</v>
      </c>
      <c r="J129" s="243">
        <v>12</v>
      </c>
      <c r="K129" s="243">
        <v>550</v>
      </c>
      <c r="L129" s="48">
        <v>3715000</v>
      </c>
      <c r="M129" s="91">
        <v>0</v>
      </c>
      <c r="N129" s="84"/>
      <c r="O129" s="48"/>
      <c r="P129" s="91">
        <f>N129+O129</f>
        <v>0</v>
      </c>
      <c r="Q129" s="84"/>
      <c r="R129" s="48"/>
      <c r="S129" s="91">
        <f>Q129+R129</f>
        <v>0</v>
      </c>
      <c r="T129" s="190"/>
      <c r="U129" s="50"/>
      <c r="V129" s="204"/>
      <c r="W129" s="190">
        <f>W130+W131</f>
        <v>12831.7</v>
      </c>
      <c r="X129" s="190">
        <f t="shared" ref="X129:Y129" si="142">X130+X131</f>
        <v>0</v>
      </c>
      <c r="Y129" s="204">
        <f t="shared" si="142"/>
        <v>12831.7</v>
      </c>
      <c r="Z129" s="190">
        <f>Z130+Z131</f>
        <v>52141.8</v>
      </c>
      <c r="AA129" s="190">
        <f t="shared" ref="AA129:AB129" si="143">AA130+AA131</f>
        <v>0</v>
      </c>
      <c r="AB129" s="204">
        <f t="shared" si="143"/>
        <v>52141.8</v>
      </c>
      <c r="AC129" s="190">
        <f>AC130+AC131</f>
        <v>2200000</v>
      </c>
      <c r="AD129" s="190">
        <f t="shared" ref="AD129:AE129" si="144">AD130+AD131</f>
        <v>0</v>
      </c>
      <c r="AE129" s="204">
        <f t="shared" si="144"/>
        <v>2200000</v>
      </c>
      <c r="AF129" s="269">
        <f>AF130+AF131</f>
        <v>2625081.5</v>
      </c>
      <c r="AG129" s="269">
        <f t="shared" ref="AG129:AH129" si="145">AG130+AG131</f>
        <v>0</v>
      </c>
      <c r="AH129" s="288">
        <f t="shared" si="145"/>
        <v>2625081.5</v>
      </c>
      <c r="AI129" s="265">
        <f>I129-M129-P129-S129-V129-Y129-AB129-AE129-AH129</f>
        <v>0</v>
      </c>
    </row>
    <row r="130" spans="1:35" s="158" customFormat="1" ht="28.5" customHeight="1" x14ac:dyDescent="0.3">
      <c r="A130" s="157"/>
      <c r="B130" s="26" t="s">
        <v>22</v>
      </c>
      <c r="C130" s="33"/>
      <c r="D130" s="28"/>
      <c r="E130" s="266"/>
      <c r="F130" s="245"/>
      <c r="G130" s="28"/>
      <c r="H130" s="138"/>
      <c r="I130" s="92"/>
      <c r="J130" s="245"/>
      <c r="K130" s="245"/>
      <c r="L130" s="35"/>
      <c r="M130" s="92"/>
      <c r="N130" s="85"/>
      <c r="O130" s="35"/>
      <c r="P130" s="92"/>
      <c r="Q130" s="85"/>
      <c r="R130" s="35"/>
      <c r="S130" s="92"/>
      <c r="T130" s="189"/>
      <c r="U130" s="37"/>
      <c r="V130" s="203"/>
      <c r="W130" s="189">
        <f>W133</f>
        <v>0</v>
      </c>
      <c r="X130" s="189">
        <f t="shared" ref="X130:Y130" si="146">X133</f>
        <v>0</v>
      </c>
      <c r="Y130" s="203">
        <f t="shared" si="146"/>
        <v>0</v>
      </c>
      <c r="Z130" s="189">
        <f>Z133</f>
        <v>0</v>
      </c>
      <c r="AA130" s="189">
        <f t="shared" ref="AA130:AB130" si="147">AA133</f>
        <v>0</v>
      </c>
      <c r="AB130" s="203">
        <f t="shared" si="147"/>
        <v>0</v>
      </c>
      <c r="AC130" s="189">
        <f>AC133</f>
        <v>2200000</v>
      </c>
      <c r="AD130" s="189">
        <f t="shared" ref="AD130:AE130" si="148">AD133</f>
        <v>0</v>
      </c>
      <c r="AE130" s="203">
        <f t="shared" si="148"/>
        <v>2200000</v>
      </c>
      <c r="AF130" s="268">
        <f>AF133</f>
        <v>2625081.5</v>
      </c>
      <c r="AG130" s="268">
        <f t="shared" ref="AG130:AH130" si="149">AG133</f>
        <v>0</v>
      </c>
      <c r="AH130" s="285">
        <f t="shared" si="149"/>
        <v>2625081.5</v>
      </c>
    </row>
    <row r="131" spans="1:35" s="158" customFormat="1" ht="28.5" customHeight="1" x14ac:dyDescent="0.3">
      <c r="A131" s="157"/>
      <c r="B131" s="6" t="s">
        <v>23</v>
      </c>
      <c r="C131" s="46"/>
      <c r="D131" s="14"/>
      <c r="E131" s="244"/>
      <c r="F131" s="243"/>
      <c r="G131" s="14"/>
      <c r="H131" s="140"/>
      <c r="I131" s="91"/>
      <c r="J131" s="243"/>
      <c r="K131" s="243"/>
      <c r="L131" s="48"/>
      <c r="M131" s="91"/>
      <c r="N131" s="84"/>
      <c r="O131" s="48"/>
      <c r="P131" s="91"/>
      <c r="Q131" s="84"/>
      <c r="R131" s="48"/>
      <c r="S131" s="91"/>
      <c r="T131" s="190"/>
      <c r="U131" s="50"/>
      <c r="V131" s="204"/>
      <c r="W131" s="190">
        <f>W132</f>
        <v>12831.7</v>
      </c>
      <c r="X131" s="190">
        <f t="shared" ref="X131:Y131" si="150">X132</f>
        <v>0</v>
      </c>
      <c r="Y131" s="204">
        <f t="shared" si="150"/>
        <v>12831.7</v>
      </c>
      <c r="Z131" s="190">
        <f>Z132</f>
        <v>52141.8</v>
      </c>
      <c r="AA131" s="190">
        <f t="shared" ref="AA131:AB131" si="151">AA132</f>
        <v>0</v>
      </c>
      <c r="AB131" s="204">
        <f t="shared" si="151"/>
        <v>52141.8</v>
      </c>
      <c r="AC131" s="190"/>
      <c r="AD131" s="190"/>
      <c r="AE131" s="204"/>
      <c r="AF131" s="212"/>
      <c r="AG131" s="237"/>
      <c r="AH131" s="234"/>
    </row>
    <row r="132" spans="1:35" s="158" customFormat="1" ht="28.5" customHeight="1" x14ac:dyDescent="0.3">
      <c r="A132" s="157"/>
      <c r="B132" s="6" t="s">
        <v>35</v>
      </c>
      <c r="C132" s="46"/>
      <c r="D132" s="14"/>
      <c r="E132" s="244"/>
      <c r="F132" s="243"/>
      <c r="G132" s="14"/>
      <c r="H132" s="140"/>
      <c r="I132" s="91"/>
      <c r="J132" s="243"/>
      <c r="K132" s="243"/>
      <c r="L132" s="48"/>
      <c r="M132" s="91"/>
      <c r="N132" s="84"/>
      <c r="O132" s="48"/>
      <c r="P132" s="91"/>
      <c r="Q132" s="84"/>
      <c r="R132" s="48"/>
      <c r="S132" s="91"/>
      <c r="T132" s="190"/>
      <c r="U132" s="50"/>
      <c r="V132" s="204"/>
      <c r="W132" s="50">
        <v>12831.7</v>
      </c>
      <c r="X132" s="50"/>
      <c r="Y132" s="204">
        <f>W132+X132</f>
        <v>12831.7</v>
      </c>
      <c r="Z132" s="190">
        <f>51932.5+209.3</f>
        <v>52141.8</v>
      </c>
      <c r="AA132" s="190"/>
      <c r="AB132" s="204">
        <f>Z132+AA132</f>
        <v>52141.8</v>
      </c>
      <c r="AC132" s="190"/>
      <c r="AD132" s="190"/>
      <c r="AE132" s="204"/>
      <c r="AF132" s="212"/>
      <c r="AG132" s="237"/>
      <c r="AH132" s="234"/>
    </row>
    <row r="133" spans="1:35" s="158" customFormat="1" ht="28.5" customHeight="1" x14ac:dyDescent="0.3">
      <c r="A133" s="157"/>
      <c r="B133" s="6" t="s">
        <v>44</v>
      </c>
      <c r="C133" s="46"/>
      <c r="D133" s="14"/>
      <c r="E133" s="244"/>
      <c r="F133" s="243"/>
      <c r="G133" s="14"/>
      <c r="H133" s="140"/>
      <c r="I133" s="91"/>
      <c r="J133" s="243"/>
      <c r="K133" s="243"/>
      <c r="L133" s="48"/>
      <c r="M133" s="91"/>
      <c r="N133" s="84"/>
      <c r="O133" s="48"/>
      <c r="P133" s="91"/>
      <c r="Q133" s="84"/>
      <c r="R133" s="48"/>
      <c r="S133" s="91"/>
      <c r="T133" s="190"/>
      <c r="U133" s="50"/>
      <c r="V133" s="204"/>
      <c r="W133" s="190">
        <f>1200000-1200000</f>
        <v>0</v>
      </c>
      <c r="X133" s="190"/>
      <c r="Y133" s="204">
        <f>W133+X133</f>
        <v>0</v>
      </c>
      <c r="Z133" s="190">
        <f>1315000-1315000</f>
        <v>0</v>
      </c>
      <c r="AA133" s="190"/>
      <c r="AB133" s="204">
        <f>Z133+AA133</f>
        <v>0</v>
      </c>
      <c r="AC133" s="190">
        <f>1200000+1000000</f>
        <v>2200000</v>
      </c>
      <c r="AD133" s="190"/>
      <c r="AE133" s="204">
        <f>AC133+AD133</f>
        <v>2200000</v>
      </c>
      <c r="AF133" s="237">
        <f>2450026.5+175055</f>
        <v>2625081.5</v>
      </c>
      <c r="AG133" s="237"/>
      <c r="AH133" s="267">
        <f>AF133+AG133</f>
        <v>2625081.5</v>
      </c>
    </row>
    <row r="134" spans="1:35" ht="63.75" customHeight="1" x14ac:dyDescent="0.3">
      <c r="A134" s="343">
        <v>47</v>
      </c>
      <c r="B134" s="357" t="s">
        <v>79</v>
      </c>
      <c r="C134" s="46"/>
      <c r="D134" s="14">
        <v>2026</v>
      </c>
      <c r="E134" s="167">
        <v>7.7450000000000001</v>
      </c>
      <c r="F134" s="243">
        <v>305</v>
      </c>
      <c r="G134" s="14">
        <v>8.0500000000000007</v>
      </c>
      <c r="H134" s="140"/>
      <c r="I134" s="91">
        <v>3486950</v>
      </c>
      <c r="J134" s="243">
        <v>1</v>
      </c>
      <c r="K134" s="243">
        <v>220</v>
      </c>
      <c r="L134" s="48">
        <v>1380000</v>
      </c>
      <c r="M134" s="91">
        <v>0</v>
      </c>
      <c r="N134" s="84"/>
      <c r="O134" s="48"/>
      <c r="P134" s="91">
        <f t="shared" ref="P134:P174" si="152">N134+O134</f>
        <v>0</v>
      </c>
      <c r="Q134" s="84"/>
      <c r="R134" s="48"/>
      <c r="S134" s="91">
        <f t="shared" ref="S134:S174" si="153">Q134+R134</f>
        <v>0</v>
      </c>
      <c r="T134" s="190"/>
      <c r="U134" s="50"/>
      <c r="V134" s="204"/>
      <c r="W134" s="190">
        <f>395000-395000</f>
        <v>0</v>
      </c>
      <c r="X134" s="50"/>
      <c r="Y134" s="204">
        <f>W134+X134</f>
        <v>0</v>
      </c>
      <c r="Z134" s="190">
        <f>Z135+Z136</f>
        <v>8408.7999999999993</v>
      </c>
      <c r="AA134" s="190">
        <f t="shared" ref="AA134:AB134" si="154">AA135+AA136</f>
        <v>0</v>
      </c>
      <c r="AB134" s="204">
        <f t="shared" si="154"/>
        <v>8408.7999999999993</v>
      </c>
      <c r="AC134" s="190">
        <f>AC135+AC136</f>
        <v>24312.3</v>
      </c>
      <c r="AD134" s="190">
        <f t="shared" ref="AD134:AE134" si="155">AD135+AD136</f>
        <v>0</v>
      </c>
      <c r="AE134" s="204">
        <f t="shared" si="155"/>
        <v>24312.3</v>
      </c>
      <c r="AF134" s="269">
        <f>AF135+AF136</f>
        <v>3454228.9</v>
      </c>
      <c r="AG134" s="269">
        <f t="shared" ref="AG134:AH134" si="156">AG135+AG136</f>
        <v>0</v>
      </c>
      <c r="AH134" s="288">
        <f t="shared" si="156"/>
        <v>3454228.9</v>
      </c>
      <c r="AI134" s="40">
        <f>I134-M134-P134-S134-V134-Y134-AB134-AE134-AH134</f>
        <v>0</v>
      </c>
    </row>
    <row r="135" spans="1:35" ht="24.75" customHeight="1" x14ac:dyDescent="0.3">
      <c r="A135" s="59"/>
      <c r="B135" s="26" t="s">
        <v>22</v>
      </c>
      <c r="C135" s="33"/>
      <c r="D135" s="28"/>
      <c r="E135" s="19"/>
      <c r="F135" s="245"/>
      <c r="G135" s="28"/>
      <c r="H135" s="138"/>
      <c r="I135" s="92"/>
      <c r="J135" s="245"/>
      <c r="K135" s="245"/>
      <c r="L135" s="35"/>
      <c r="M135" s="92"/>
      <c r="N135" s="85"/>
      <c r="O135" s="35"/>
      <c r="P135" s="92"/>
      <c r="Q135" s="85"/>
      <c r="R135" s="35"/>
      <c r="S135" s="92"/>
      <c r="T135" s="189"/>
      <c r="U135" s="37"/>
      <c r="V135" s="203"/>
      <c r="W135" s="189"/>
      <c r="X135" s="37"/>
      <c r="Y135" s="203"/>
      <c r="Z135" s="189">
        <f>Z138</f>
        <v>0</v>
      </c>
      <c r="AA135" s="189">
        <f t="shared" ref="AA135:AB135" si="157">AA138</f>
        <v>0</v>
      </c>
      <c r="AB135" s="203">
        <f t="shared" si="157"/>
        <v>0</v>
      </c>
      <c r="AC135" s="268">
        <f>AC138</f>
        <v>0</v>
      </c>
      <c r="AD135" s="268">
        <f t="shared" ref="AD135:AE135" si="158">AD138</f>
        <v>0</v>
      </c>
      <c r="AE135" s="285">
        <f t="shared" si="158"/>
        <v>0</v>
      </c>
      <c r="AF135" s="268">
        <f>AF138</f>
        <v>3454228.9</v>
      </c>
      <c r="AG135" s="268">
        <f t="shared" ref="AG135:AH135" si="159">AG138</f>
        <v>0</v>
      </c>
      <c r="AH135" s="285">
        <f t="shared" si="159"/>
        <v>3454228.9</v>
      </c>
    </row>
    <row r="136" spans="1:35" ht="24.75" customHeight="1" x14ac:dyDescent="0.3">
      <c r="A136" s="59"/>
      <c r="B136" s="6" t="s">
        <v>23</v>
      </c>
      <c r="C136" s="46"/>
      <c r="D136" s="14"/>
      <c r="E136" s="167"/>
      <c r="F136" s="243"/>
      <c r="G136" s="14"/>
      <c r="H136" s="140"/>
      <c r="I136" s="91"/>
      <c r="J136" s="243"/>
      <c r="K136" s="243"/>
      <c r="L136" s="48"/>
      <c r="M136" s="91"/>
      <c r="N136" s="84"/>
      <c r="O136" s="48"/>
      <c r="P136" s="91"/>
      <c r="Q136" s="84"/>
      <c r="R136" s="48"/>
      <c r="S136" s="91"/>
      <c r="T136" s="190"/>
      <c r="U136" s="50"/>
      <c r="V136" s="204"/>
      <c r="W136" s="190"/>
      <c r="X136" s="50"/>
      <c r="Y136" s="204"/>
      <c r="Z136" s="50">
        <f>Z137</f>
        <v>8408.7999999999993</v>
      </c>
      <c r="AA136" s="50">
        <f>AA137</f>
        <v>0</v>
      </c>
      <c r="AB136" s="204">
        <f>AB137</f>
        <v>8408.7999999999993</v>
      </c>
      <c r="AC136" s="212">
        <f>AC137</f>
        <v>24312.3</v>
      </c>
      <c r="AD136" s="212">
        <f t="shared" ref="AD136:AE136" si="160">AD137</f>
        <v>0</v>
      </c>
      <c r="AE136" s="224">
        <f t="shared" si="160"/>
        <v>24312.3</v>
      </c>
      <c r="AF136" s="212"/>
      <c r="AG136" s="76"/>
      <c r="AH136" s="96"/>
    </row>
    <row r="137" spans="1:35" ht="24.75" customHeight="1" x14ac:dyDescent="0.3">
      <c r="A137" s="59"/>
      <c r="B137" s="6" t="s">
        <v>35</v>
      </c>
      <c r="C137" s="46"/>
      <c r="D137" s="14"/>
      <c r="E137" s="167"/>
      <c r="F137" s="243"/>
      <c r="G137" s="14"/>
      <c r="H137" s="140"/>
      <c r="I137" s="91"/>
      <c r="J137" s="243"/>
      <c r="K137" s="243"/>
      <c r="L137" s="48"/>
      <c r="M137" s="91"/>
      <c r="N137" s="84"/>
      <c r="O137" s="48"/>
      <c r="P137" s="91"/>
      <c r="Q137" s="84"/>
      <c r="R137" s="48"/>
      <c r="S137" s="91"/>
      <c r="T137" s="190"/>
      <c r="U137" s="50"/>
      <c r="V137" s="204"/>
      <c r="W137" s="190"/>
      <c r="X137" s="50"/>
      <c r="Y137" s="204"/>
      <c r="Z137" s="50">
        <v>8408.7999999999993</v>
      </c>
      <c r="AA137" s="50"/>
      <c r="AB137" s="204">
        <f>Z137+AA137</f>
        <v>8408.7999999999993</v>
      </c>
      <c r="AC137" s="169">
        <f>24103+209.3</f>
        <v>24312.3</v>
      </c>
      <c r="AD137" s="169"/>
      <c r="AE137" s="224">
        <f>AC137+AD137</f>
        <v>24312.3</v>
      </c>
      <c r="AF137" s="212"/>
      <c r="AG137" s="76"/>
      <c r="AH137" s="96"/>
    </row>
    <row r="138" spans="1:35" ht="15.75" customHeight="1" x14ac:dyDescent="0.3">
      <c r="A138" s="59"/>
      <c r="B138" s="6" t="s">
        <v>44</v>
      </c>
      <c r="C138" s="46"/>
      <c r="D138" s="14"/>
      <c r="E138" s="167"/>
      <c r="F138" s="243"/>
      <c r="G138" s="14"/>
      <c r="H138" s="140"/>
      <c r="I138" s="91"/>
      <c r="J138" s="243"/>
      <c r="K138" s="243"/>
      <c r="L138" s="48"/>
      <c r="M138" s="91"/>
      <c r="N138" s="84"/>
      <c r="O138" s="48"/>
      <c r="P138" s="91"/>
      <c r="Q138" s="84"/>
      <c r="R138" s="48"/>
      <c r="S138" s="91"/>
      <c r="T138" s="190"/>
      <c r="U138" s="50"/>
      <c r="V138" s="204"/>
      <c r="W138" s="190"/>
      <c r="X138" s="50"/>
      <c r="Y138" s="204"/>
      <c r="Z138" s="190">
        <f>985000-985000</f>
        <v>0</v>
      </c>
      <c r="AA138" s="50"/>
      <c r="AB138" s="204">
        <f>Z138+AA138</f>
        <v>0</v>
      </c>
      <c r="AC138" s="212"/>
      <c r="AD138" s="169"/>
      <c r="AE138" s="224">
        <f>AC138+AD138</f>
        <v>0</v>
      </c>
      <c r="AF138" s="302">
        <f>1347278.9+2106950</f>
        <v>3454228.9</v>
      </c>
      <c r="AG138" s="76"/>
      <c r="AH138" s="261">
        <f>AF138+AG138</f>
        <v>3454228.9</v>
      </c>
    </row>
    <row r="139" spans="1:35" ht="156" customHeight="1" x14ac:dyDescent="0.3">
      <c r="A139" s="344"/>
      <c r="B139" s="365" t="s">
        <v>92</v>
      </c>
      <c r="C139" s="46"/>
      <c r="D139" s="14">
        <v>2026</v>
      </c>
      <c r="E139" s="167">
        <v>49</v>
      </c>
      <c r="F139" s="243"/>
      <c r="G139" s="14"/>
      <c r="H139" s="140"/>
      <c r="I139" s="91">
        <v>4465120</v>
      </c>
      <c r="J139" s="243"/>
      <c r="K139" s="243"/>
      <c r="L139" s="48"/>
      <c r="M139" s="91"/>
      <c r="N139" s="84"/>
      <c r="O139" s="48"/>
      <c r="P139" s="91"/>
      <c r="Q139" s="84"/>
      <c r="R139" s="48"/>
      <c r="S139" s="91"/>
      <c r="T139" s="190"/>
      <c r="U139" s="50"/>
      <c r="V139" s="204"/>
      <c r="W139" s="190">
        <f>W140+W141</f>
        <v>23416</v>
      </c>
      <c r="X139" s="190">
        <f t="shared" ref="X139:Y139" si="161">X140+X141</f>
        <v>0</v>
      </c>
      <c r="Y139" s="204">
        <f t="shared" si="161"/>
        <v>23416</v>
      </c>
      <c r="Z139" s="190">
        <f>Z140+Z141</f>
        <v>35509.9</v>
      </c>
      <c r="AA139" s="190">
        <f t="shared" ref="AA139:AB139" si="162">AA140+AA141</f>
        <v>0</v>
      </c>
      <c r="AB139" s="204">
        <f t="shared" si="162"/>
        <v>35509.9</v>
      </c>
      <c r="AC139" s="190">
        <f>AC140+AC141</f>
        <v>2200000</v>
      </c>
      <c r="AD139" s="190">
        <f t="shared" ref="AD139:AE139" si="163">AD140+AD141</f>
        <v>0</v>
      </c>
      <c r="AE139" s="312">
        <f t="shared" si="163"/>
        <v>2200000</v>
      </c>
      <c r="AF139" s="190">
        <f>AF140+AF141</f>
        <v>2206194.1</v>
      </c>
      <c r="AG139" s="190">
        <f t="shared" ref="AG139:AH139" si="164">AG140+AG141</f>
        <v>0</v>
      </c>
      <c r="AH139" s="312">
        <f t="shared" si="164"/>
        <v>2206194.1</v>
      </c>
      <c r="AI139" s="40">
        <f>I139-Y139-AB139-AE139-AH139</f>
        <v>0</v>
      </c>
    </row>
    <row r="140" spans="1:35" ht="24.75" customHeight="1" x14ac:dyDescent="0.3">
      <c r="A140" s="59"/>
      <c r="B140" s="26" t="s">
        <v>22</v>
      </c>
      <c r="C140" s="33"/>
      <c r="D140" s="28"/>
      <c r="E140" s="19"/>
      <c r="F140" s="245"/>
      <c r="G140" s="28"/>
      <c r="H140" s="138"/>
      <c r="I140" s="92"/>
      <c r="J140" s="245"/>
      <c r="K140" s="245"/>
      <c r="L140" s="35"/>
      <c r="M140" s="92"/>
      <c r="N140" s="85"/>
      <c r="O140" s="35"/>
      <c r="P140" s="92"/>
      <c r="Q140" s="85"/>
      <c r="R140" s="35"/>
      <c r="S140" s="92"/>
      <c r="T140" s="189"/>
      <c r="U140" s="37"/>
      <c r="V140" s="203"/>
      <c r="W140" s="189"/>
      <c r="X140" s="37"/>
      <c r="Y140" s="203"/>
      <c r="Z140" s="189"/>
      <c r="AA140" s="37"/>
      <c r="AB140" s="203"/>
      <c r="AC140" s="198">
        <f>AC143</f>
        <v>2200000</v>
      </c>
      <c r="AD140" s="198">
        <f t="shared" ref="AD140:AE140" si="165">AD143</f>
        <v>0</v>
      </c>
      <c r="AE140" s="314">
        <f t="shared" si="165"/>
        <v>2200000</v>
      </c>
      <c r="AF140" s="198">
        <f>AF143</f>
        <v>2206194.1</v>
      </c>
      <c r="AG140" s="198">
        <f t="shared" ref="AG140:AH140" si="166">AG143</f>
        <v>0</v>
      </c>
      <c r="AH140" s="314">
        <f t="shared" si="166"/>
        <v>2206194.1</v>
      </c>
    </row>
    <row r="141" spans="1:35" ht="24.75" customHeight="1" x14ac:dyDescent="0.3">
      <c r="A141" s="59"/>
      <c r="B141" s="6" t="s">
        <v>23</v>
      </c>
      <c r="C141" s="46"/>
      <c r="D141" s="14"/>
      <c r="E141" s="167"/>
      <c r="F141" s="243"/>
      <c r="G141" s="14"/>
      <c r="H141" s="140"/>
      <c r="I141" s="91"/>
      <c r="J141" s="243"/>
      <c r="K141" s="243"/>
      <c r="L141" s="48"/>
      <c r="M141" s="91"/>
      <c r="N141" s="84"/>
      <c r="O141" s="48"/>
      <c r="P141" s="91"/>
      <c r="Q141" s="84"/>
      <c r="R141" s="48"/>
      <c r="S141" s="91"/>
      <c r="T141" s="190"/>
      <c r="U141" s="50"/>
      <c r="V141" s="204"/>
      <c r="W141" s="190">
        <f>W142</f>
        <v>23416</v>
      </c>
      <c r="X141" s="190">
        <f t="shared" ref="X141:Y141" si="167">X142</f>
        <v>0</v>
      </c>
      <c r="Y141" s="204">
        <f t="shared" si="167"/>
        <v>23416</v>
      </c>
      <c r="Z141" s="190">
        <f>Z142</f>
        <v>35509.9</v>
      </c>
      <c r="AA141" s="190">
        <f t="shared" ref="AA141:AB141" si="168">AA142</f>
        <v>0</v>
      </c>
      <c r="AB141" s="204">
        <f t="shared" si="168"/>
        <v>35509.9</v>
      </c>
      <c r="AC141" s="212"/>
      <c r="AD141" s="169"/>
      <c r="AE141" s="224"/>
      <c r="AF141" s="212"/>
      <c r="AG141" s="76"/>
      <c r="AH141" s="96"/>
    </row>
    <row r="142" spans="1:35" ht="24.75" customHeight="1" x14ac:dyDescent="0.3">
      <c r="A142" s="59"/>
      <c r="B142" s="6" t="s">
        <v>35</v>
      </c>
      <c r="C142" s="46"/>
      <c r="D142" s="14"/>
      <c r="E142" s="167"/>
      <c r="F142" s="243"/>
      <c r="G142" s="14"/>
      <c r="H142" s="140"/>
      <c r="I142" s="91"/>
      <c r="J142" s="243"/>
      <c r="K142" s="243"/>
      <c r="L142" s="48"/>
      <c r="M142" s="91"/>
      <c r="N142" s="84"/>
      <c r="O142" s="48"/>
      <c r="P142" s="91"/>
      <c r="Q142" s="84"/>
      <c r="R142" s="48"/>
      <c r="S142" s="91"/>
      <c r="T142" s="190"/>
      <c r="U142" s="50"/>
      <c r="V142" s="204"/>
      <c r="W142" s="50">
        <v>23416</v>
      </c>
      <c r="X142" s="50"/>
      <c r="Y142" s="204">
        <f>W142+X142</f>
        <v>23416</v>
      </c>
      <c r="Z142" s="50">
        <f>35308.3+201.6</f>
        <v>35509.9</v>
      </c>
      <c r="AA142" s="50"/>
      <c r="AB142" s="204">
        <f>Z142+AA142</f>
        <v>35509.9</v>
      </c>
      <c r="AC142" s="212"/>
      <c r="AD142" s="169"/>
      <c r="AE142" s="224"/>
      <c r="AF142" s="212"/>
      <c r="AG142" s="76"/>
      <c r="AH142" s="96"/>
    </row>
    <row r="143" spans="1:35" ht="24.75" customHeight="1" x14ac:dyDescent="0.3">
      <c r="A143" s="59"/>
      <c r="B143" s="6" t="s">
        <v>44</v>
      </c>
      <c r="C143" s="46"/>
      <c r="D143" s="14"/>
      <c r="E143" s="167"/>
      <c r="F143" s="243"/>
      <c r="G143" s="14"/>
      <c r="H143" s="140"/>
      <c r="I143" s="91"/>
      <c r="J143" s="243"/>
      <c r="K143" s="243"/>
      <c r="L143" s="48"/>
      <c r="M143" s="91"/>
      <c r="N143" s="84"/>
      <c r="O143" s="48"/>
      <c r="P143" s="91"/>
      <c r="Q143" s="84"/>
      <c r="R143" s="48"/>
      <c r="S143" s="91"/>
      <c r="T143" s="190"/>
      <c r="U143" s="50"/>
      <c r="V143" s="204"/>
      <c r="W143" s="190"/>
      <c r="X143" s="50"/>
      <c r="Y143" s="204"/>
      <c r="Z143" s="190"/>
      <c r="AA143" s="50"/>
      <c r="AB143" s="204"/>
      <c r="AC143" s="169">
        <v>2200000</v>
      </c>
      <c r="AD143" s="169"/>
      <c r="AE143" s="224">
        <f>AC143+AD143</f>
        <v>2200000</v>
      </c>
      <c r="AF143" s="302">
        <v>2206194.1</v>
      </c>
      <c r="AG143" s="302"/>
      <c r="AH143" s="261">
        <f>AF143+AG143</f>
        <v>2206194.1</v>
      </c>
    </row>
    <row r="144" spans="1:35" ht="64.5" customHeight="1" x14ac:dyDescent="0.3">
      <c r="A144" s="344"/>
      <c r="B144" s="357" t="s">
        <v>86</v>
      </c>
      <c r="C144" s="46"/>
      <c r="D144" s="14">
        <v>2026</v>
      </c>
      <c r="E144" s="167">
        <v>58.55</v>
      </c>
      <c r="F144" s="243"/>
      <c r="G144" s="14"/>
      <c r="H144" s="140"/>
      <c r="I144" s="91">
        <v>2902380</v>
      </c>
      <c r="J144" s="243"/>
      <c r="K144" s="243"/>
      <c r="L144" s="48"/>
      <c r="M144" s="91"/>
      <c r="N144" s="84"/>
      <c r="O144" s="48"/>
      <c r="P144" s="91"/>
      <c r="Q144" s="84"/>
      <c r="R144" s="48"/>
      <c r="S144" s="91"/>
      <c r="T144" s="190"/>
      <c r="U144" s="50"/>
      <c r="V144" s="204"/>
      <c r="W144" s="190">
        <f>W145+W146</f>
        <v>20916.5</v>
      </c>
      <c r="X144" s="190">
        <f t="shared" ref="X144:Y144" si="169">X145+X146</f>
        <v>0</v>
      </c>
      <c r="Y144" s="204">
        <f t="shared" si="169"/>
        <v>20916.5</v>
      </c>
      <c r="Z144" s="190">
        <f>Z145+Z146</f>
        <v>25555.199999999997</v>
      </c>
      <c r="AA144" s="190">
        <f t="shared" ref="AA144:AB144" si="170">AA145+AA146</f>
        <v>0</v>
      </c>
      <c r="AB144" s="204">
        <f t="shared" si="170"/>
        <v>25555.199999999997</v>
      </c>
      <c r="AC144" s="190">
        <f>AB144+Y144</f>
        <v>46471.7</v>
      </c>
      <c r="AD144" s="190">
        <f t="shared" ref="AD144:AE144" si="171">AD145+AD146</f>
        <v>0</v>
      </c>
      <c r="AE144" s="312">
        <f t="shared" si="171"/>
        <v>1400000</v>
      </c>
      <c r="AF144" s="190">
        <f>AF145+AF146</f>
        <v>1455908.3</v>
      </c>
      <c r="AG144" s="190">
        <f t="shared" ref="AG144:AH144" si="172">AG145+AG146</f>
        <v>0</v>
      </c>
      <c r="AH144" s="312">
        <f t="shared" si="172"/>
        <v>1455908.3</v>
      </c>
      <c r="AI144" s="40">
        <f>I144-Y144-AB144-AE144-AH144</f>
        <v>0</v>
      </c>
    </row>
    <row r="145" spans="1:35" ht="24.75" customHeight="1" x14ac:dyDescent="0.3">
      <c r="A145" s="59"/>
      <c r="B145" s="26" t="s">
        <v>22</v>
      </c>
      <c r="C145" s="33"/>
      <c r="D145" s="28"/>
      <c r="E145" s="19"/>
      <c r="F145" s="245"/>
      <c r="G145" s="28"/>
      <c r="H145" s="138"/>
      <c r="I145" s="92"/>
      <c r="J145" s="245"/>
      <c r="K145" s="245"/>
      <c r="L145" s="35"/>
      <c r="M145" s="92"/>
      <c r="N145" s="85"/>
      <c r="O145" s="35"/>
      <c r="P145" s="92"/>
      <c r="Q145" s="85"/>
      <c r="R145" s="35"/>
      <c r="S145" s="92"/>
      <c r="T145" s="189"/>
      <c r="U145" s="37"/>
      <c r="V145" s="203"/>
      <c r="W145" s="189"/>
      <c r="X145" s="189"/>
      <c r="Y145" s="203"/>
      <c r="Z145" s="189"/>
      <c r="AA145" s="189"/>
      <c r="AB145" s="203"/>
      <c r="AC145" s="198">
        <f>AC148</f>
        <v>1400000</v>
      </c>
      <c r="AD145" s="198">
        <f t="shared" ref="AD145:AE145" si="173">AD148</f>
        <v>0</v>
      </c>
      <c r="AE145" s="314">
        <f t="shared" si="173"/>
        <v>1400000</v>
      </c>
      <c r="AF145" s="198">
        <f>AF148</f>
        <v>1455908.3</v>
      </c>
      <c r="AG145" s="198">
        <f t="shared" ref="AG145:AH145" si="174">AG148</f>
        <v>0</v>
      </c>
      <c r="AH145" s="314">
        <f t="shared" si="174"/>
        <v>1455908.3</v>
      </c>
    </row>
    <row r="146" spans="1:35" ht="24.75" customHeight="1" x14ac:dyDescent="0.3">
      <c r="A146" s="59"/>
      <c r="B146" s="6" t="s">
        <v>23</v>
      </c>
      <c r="C146" s="46"/>
      <c r="D146" s="14"/>
      <c r="E146" s="167"/>
      <c r="F146" s="243"/>
      <c r="G146" s="14"/>
      <c r="H146" s="140"/>
      <c r="I146" s="91"/>
      <c r="J146" s="243"/>
      <c r="K146" s="243"/>
      <c r="L146" s="48"/>
      <c r="M146" s="91"/>
      <c r="N146" s="84"/>
      <c r="O146" s="48"/>
      <c r="P146" s="91"/>
      <c r="Q146" s="84"/>
      <c r="R146" s="48"/>
      <c r="S146" s="91"/>
      <c r="T146" s="190"/>
      <c r="U146" s="50"/>
      <c r="V146" s="204"/>
      <c r="W146" s="190">
        <f>W147</f>
        <v>20916.5</v>
      </c>
      <c r="X146" s="190">
        <f t="shared" ref="X146:Y146" si="175">X147</f>
        <v>0</v>
      </c>
      <c r="Y146" s="204">
        <f t="shared" si="175"/>
        <v>20916.5</v>
      </c>
      <c r="Z146" s="190">
        <f>Z147</f>
        <v>25555.199999999997</v>
      </c>
      <c r="AA146" s="190">
        <f t="shared" ref="AA146:AB146" si="176">AA147</f>
        <v>0</v>
      </c>
      <c r="AB146" s="204">
        <f t="shared" si="176"/>
        <v>25555.199999999997</v>
      </c>
      <c r="AC146" s="212"/>
      <c r="AD146" s="212"/>
      <c r="AE146" s="224"/>
      <c r="AF146" s="212"/>
      <c r="AG146" s="228"/>
      <c r="AH146" s="96"/>
    </row>
    <row r="147" spans="1:35" ht="24.75" customHeight="1" x14ac:dyDescent="0.3">
      <c r="A147" s="59"/>
      <c r="B147" s="6" t="s">
        <v>35</v>
      </c>
      <c r="C147" s="46"/>
      <c r="D147" s="14"/>
      <c r="E147" s="167"/>
      <c r="F147" s="243"/>
      <c r="G147" s="14"/>
      <c r="H147" s="140"/>
      <c r="I147" s="91"/>
      <c r="J147" s="243"/>
      <c r="K147" s="243"/>
      <c r="L147" s="48"/>
      <c r="M147" s="91"/>
      <c r="N147" s="84"/>
      <c r="O147" s="48"/>
      <c r="P147" s="91"/>
      <c r="Q147" s="84"/>
      <c r="R147" s="48"/>
      <c r="S147" s="91"/>
      <c r="T147" s="190"/>
      <c r="U147" s="50"/>
      <c r="V147" s="204"/>
      <c r="W147" s="190">
        <v>20916.5</v>
      </c>
      <c r="X147" s="190"/>
      <c r="Y147" s="204">
        <f>W147+X147</f>
        <v>20916.5</v>
      </c>
      <c r="Z147" s="190">
        <f>25353.6+201.6</f>
        <v>25555.199999999997</v>
      </c>
      <c r="AA147" s="190"/>
      <c r="AB147" s="204">
        <f>Z147+AA147</f>
        <v>25555.199999999997</v>
      </c>
      <c r="AC147" s="212"/>
      <c r="AD147" s="212"/>
      <c r="AE147" s="224"/>
      <c r="AF147" s="212"/>
      <c r="AG147" s="228"/>
      <c r="AH147" s="96"/>
    </row>
    <row r="148" spans="1:35" ht="18" customHeight="1" x14ac:dyDescent="0.3">
      <c r="A148" s="59"/>
      <c r="B148" s="6" t="s">
        <v>44</v>
      </c>
      <c r="C148" s="46"/>
      <c r="D148" s="14"/>
      <c r="E148" s="167"/>
      <c r="F148" s="243"/>
      <c r="G148" s="14"/>
      <c r="H148" s="140"/>
      <c r="I148" s="91"/>
      <c r="J148" s="243"/>
      <c r="K148" s="243"/>
      <c r="L148" s="48"/>
      <c r="M148" s="91"/>
      <c r="N148" s="84"/>
      <c r="O148" s="48"/>
      <c r="P148" s="91"/>
      <c r="Q148" s="84"/>
      <c r="R148" s="48"/>
      <c r="S148" s="91"/>
      <c r="T148" s="190"/>
      <c r="U148" s="50"/>
      <c r="V148" s="204"/>
      <c r="W148" s="190"/>
      <c r="X148" s="190"/>
      <c r="Y148" s="204"/>
      <c r="Z148" s="190"/>
      <c r="AA148" s="190"/>
      <c r="AB148" s="204"/>
      <c r="AC148" s="212">
        <v>1400000</v>
      </c>
      <c r="AD148" s="212"/>
      <c r="AE148" s="224">
        <f>AC148+AD148</f>
        <v>1400000</v>
      </c>
      <c r="AF148" s="303">
        <v>1455908.3</v>
      </c>
      <c r="AG148" s="303"/>
      <c r="AH148" s="261">
        <f>AF148+AG148</f>
        <v>1455908.3</v>
      </c>
    </row>
    <row r="149" spans="1:35" ht="131.25" customHeight="1" x14ac:dyDescent="0.3">
      <c r="A149" s="60"/>
      <c r="B149" s="373" t="s">
        <v>126</v>
      </c>
      <c r="C149" s="46"/>
      <c r="D149" s="14">
        <v>2024</v>
      </c>
      <c r="E149" s="167"/>
      <c r="F149" s="297">
        <v>122.2</v>
      </c>
      <c r="G149" s="14"/>
      <c r="H149" s="140"/>
      <c r="I149" s="91">
        <v>803328</v>
      </c>
      <c r="J149" s="243"/>
      <c r="K149" s="243"/>
      <c r="L149" s="48"/>
      <c r="M149" s="91"/>
      <c r="N149" s="84"/>
      <c r="O149" s="48"/>
      <c r="P149" s="91"/>
      <c r="Q149" s="48">
        <f t="shared" ref="Q149:Y149" si="177">Q150+Q151</f>
        <v>0</v>
      </c>
      <c r="R149" s="48">
        <f t="shared" si="177"/>
        <v>0</v>
      </c>
      <c r="S149" s="91">
        <f t="shared" si="177"/>
        <v>0</v>
      </c>
      <c r="T149" s="50">
        <f t="shared" si="177"/>
        <v>7356</v>
      </c>
      <c r="U149" s="50">
        <f t="shared" si="177"/>
        <v>0</v>
      </c>
      <c r="V149" s="204">
        <f t="shared" si="177"/>
        <v>7356</v>
      </c>
      <c r="W149" s="190">
        <f t="shared" si="177"/>
        <v>316901</v>
      </c>
      <c r="X149" s="190">
        <f t="shared" si="177"/>
        <v>0</v>
      </c>
      <c r="Y149" s="190">
        <f t="shared" si="177"/>
        <v>316901</v>
      </c>
      <c r="Z149" s="190">
        <f>Z150+Z151</f>
        <v>479071</v>
      </c>
      <c r="AA149" s="190">
        <f>AA150+AA151</f>
        <v>0</v>
      </c>
      <c r="AB149" s="190">
        <f>AB150+AB151</f>
        <v>479071</v>
      </c>
      <c r="AC149" s="212"/>
      <c r="AD149" s="212"/>
      <c r="AE149" s="224"/>
      <c r="AF149" s="212"/>
      <c r="AG149" s="228"/>
      <c r="AH149" s="96"/>
      <c r="AI149" s="40">
        <f>I149-S149-V149-Y149-AB149</f>
        <v>0</v>
      </c>
    </row>
    <row r="150" spans="1:35" ht="24.75" customHeight="1" x14ac:dyDescent="0.3">
      <c r="A150" s="59"/>
      <c r="B150" s="26" t="s">
        <v>22</v>
      </c>
      <c r="C150" s="33"/>
      <c r="D150" s="28"/>
      <c r="E150" s="19"/>
      <c r="F150" s="245"/>
      <c r="G150" s="28"/>
      <c r="H150" s="138"/>
      <c r="I150" s="92"/>
      <c r="J150" s="245"/>
      <c r="K150" s="245"/>
      <c r="L150" s="35"/>
      <c r="M150" s="92"/>
      <c r="N150" s="85"/>
      <c r="O150" s="35"/>
      <c r="P150" s="92"/>
      <c r="Q150" s="35">
        <f>Q152+Q153</f>
        <v>0</v>
      </c>
      <c r="R150" s="35">
        <f>R152+R153</f>
        <v>0</v>
      </c>
      <c r="S150" s="92">
        <f>S152+S153</f>
        <v>0</v>
      </c>
      <c r="T150" s="189"/>
      <c r="U150" s="37">
        <f>U153</f>
        <v>0</v>
      </c>
      <c r="V150" s="203">
        <f>T150+U150</f>
        <v>0</v>
      </c>
      <c r="W150" s="189">
        <v>270000</v>
      </c>
      <c r="X150" s="189"/>
      <c r="Y150" s="203">
        <f>W150+X150</f>
        <v>270000</v>
      </c>
      <c r="Z150" s="189">
        <v>431164</v>
      </c>
      <c r="AA150" s="189"/>
      <c r="AB150" s="203">
        <f>AA150+Z150</f>
        <v>431164</v>
      </c>
      <c r="AC150" s="198"/>
      <c r="AD150" s="198"/>
      <c r="AE150" s="216"/>
      <c r="AF150" s="198"/>
      <c r="AG150" s="227"/>
      <c r="AH150" s="235"/>
    </row>
    <row r="151" spans="1:35" ht="24.75" customHeight="1" x14ac:dyDescent="0.3">
      <c r="A151" s="59"/>
      <c r="B151" s="6" t="s">
        <v>23</v>
      </c>
      <c r="C151" s="46"/>
      <c r="D151" s="14"/>
      <c r="E151" s="167"/>
      <c r="F151" s="243"/>
      <c r="G151" s="14"/>
      <c r="H151" s="140"/>
      <c r="I151" s="91"/>
      <c r="J151" s="243"/>
      <c r="K151" s="243"/>
      <c r="L151" s="48"/>
      <c r="M151" s="91"/>
      <c r="N151" s="84"/>
      <c r="O151" s="48"/>
      <c r="P151" s="91"/>
      <c r="Q151" s="84"/>
      <c r="R151" s="48"/>
      <c r="S151" s="91"/>
      <c r="T151" s="50">
        <f>T152</f>
        <v>7356</v>
      </c>
      <c r="U151" s="50">
        <f>U152</f>
        <v>0</v>
      </c>
      <c r="V151" s="50">
        <f>T151+U151</f>
        <v>7356</v>
      </c>
      <c r="W151" s="190">
        <f>W152+30000</f>
        <v>46901</v>
      </c>
      <c r="X151" s="190"/>
      <c r="Y151" s="204">
        <f>W151+X151</f>
        <v>46901</v>
      </c>
      <c r="Z151" s="190">
        <v>47907</v>
      </c>
      <c r="AA151" s="190"/>
      <c r="AB151" s="204">
        <f>Z151+AA151</f>
        <v>47907</v>
      </c>
      <c r="AC151" s="212"/>
      <c r="AD151" s="212"/>
      <c r="AE151" s="224"/>
      <c r="AF151" s="212"/>
      <c r="AG151" s="228"/>
      <c r="AH151" s="96"/>
    </row>
    <row r="152" spans="1:35" ht="18.75" customHeight="1" x14ac:dyDescent="0.3">
      <c r="A152" s="59"/>
      <c r="B152" s="6" t="s">
        <v>35</v>
      </c>
      <c r="C152" s="46"/>
      <c r="D152" s="14"/>
      <c r="E152" s="167"/>
      <c r="F152" s="243"/>
      <c r="G152" s="14"/>
      <c r="H152" s="140"/>
      <c r="I152" s="91"/>
      <c r="J152" s="243"/>
      <c r="K152" s="243"/>
      <c r="L152" s="48"/>
      <c r="M152" s="91"/>
      <c r="N152" s="84"/>
      <c r="O152" s="48"/>
      <c r="P152" s="91"/>
      <c r="Q152" s="48">
        <f>10479-10479</f>
        <v>0</v>
      </c>
      <c r="R152" s="48"/>
      <c r="S152" s="91">
        <f>Q152+R152</f>
        <v>0</v>
      </c>
      <c r="T152" s="50">
        <v>7356</v>
      </c>
      <c r="U152" s="50"/>
      <c r="V152" s="204">
        <f>T152+U152</f>
        <v>7356</v>
      </c>
      <c r="W152" s="190">
        <v>16901</v>
      </c>
      <c r="X152" s="190"/>
      <c r="Y152" s="204">
        <f>W152+X152</f>
        <v>16901</v>
      </c>
      <c r="Z152" s="190"/>
      <c r="AA152" s="190"/>
      <c r="AB152" s="204">
        <f>Z152+AA152</f>
        <v>0</v>
      </c>
      <c r="AC152" s="212"/>
      <c r="AD152" s="212"/>
      <c r="AE152" s="224"/>
      <c r="AF152" s="212"/>
      <c r="AG152" s="228"/>
      <c r="AH152" s="96"/>
    </row>
    <row r="153" spans="1:35" ht="18.75" customHeight="1" x14ac:dyDescent="0.3">
      <c r="A153" s="59"/>
      <c r="B153" s="6" t="s">
        <v>44</v>
      </c>
      <c r="C153" s="46"/>
      <c r="D153" s="14"/>
      <c r="E153" s="167"/>
      <c r="F153" s="243"/>
      <c r="G153" s="14"/>
      <c r="H153" s="140"/>
      <c r="I153" s="91"/>
      <c r="J153" s="243"/>
      <c r="K153" s="243"/>
      <c r="L153" s="48"/>
      <c r="M153" s="91"/>
      <c r="N153" s="84"/>
      <c r="O153" s="48"/>
      <c r="P153" s="91"/>
      <c r="Q153" s="84"/>
      <c r="R153" s="48"/>
      <c r="S153" s="91"/>
      <c r="T153" s="190"/>
      <c r="U153" s="50"/>
      <c r="V153" s="204">
        <f>T153+U153</f>
        <v>0</v>
      </c>
      <c r="W153" s="190">
        <f>30000+270000</f>
        <v>300000</v>
      </c>
      <c r="X153" s="190"/>
      <c r="Y153" s="204">
        <f>W153+X153</f>
        <v>300000</v>
      </c>
      <c r="Z153" s="190">
        <v>479071</v>
      </c>
      <c r="AA153" s="190"/>
      <c r="AB153" s="204">
        <f>Z153+AA153</f>
        <v>479071</v>
      </c>
      <c r="AC153" s="212"/>
      <c r="AD153" s="212"/>
      <c r="AE153" s="224"/>
      <c r="AF153" s="212"/>
      <c r="AG153" s="228"/>
      <c r="AH153" s="96"/>
    </row>
    <row r="154" spans="1:35" ht="123.75" customHeight="1" x14ac:dyDescent="0.3">
      <c r="A154" s="60"/>
      <c r="B154" s="383" t="s">
        <v>139</v>
      </c>
      <c r="C154" s="46"/>
      <c r="D154" s="14">
        <v>2023</v>
      </c>
      <c r="E154" s="167"/>
      <c r="F154" s="297">
        <v>368</v>
      </c>
      <c r="G154" s="14"/>
      <c r="H154" s="140"/>
      <c r="I154" s="91">
        <v>1764282</v>
      </c>
      <c r="J154" s="243"/>
      <c r="K154" s="243"/>
      <c r="L154" s="48"/>
      <c r="M154" s="91"/>
      <c r="N154" s="84"/>
      <c r="O154" s="48"/>
      <c r="P154" s="91"/>
      <c r="Q154" s="84">
        <f t="shared" ref="Q154:Y154" si="178">Q155+Q156</f>
        <v>8443</v>
      </c>
      <c r="R154" s="48">
        <f t="shared" si="178"/>
        <v>0</v>
      </c>
      <c r="S154" s="91">
        <f t="shared" si="178"/>
        <v>8443</v>
      </c>
      <c r="T154" s="50">
        <f t="shared" si="178"/>
        <v>830058</v>
      </c>
      <c r="U154" s="50">
        <f t="shared" si="178"/>
        <v>0</v>
      </c>
      <c r="V154" s="204">
        <f t="shared" si="178"/>
        <v>830058</v>
      </c>
      <c r="W154" s="190">
        <f t="shared" si="178"/>
        <v>925781</v>
      </c>
      <c r="X154" s="190">
        <f t="shared" si="178"/>
        <v>0</v>
      </c>
      <c r="Y154" s="190">
        <f t="shared" si="178"/>
        <v>925781</v>
      </c>
      <c r="Z154" s="190"/>
      <c r="AA154" s="190"/>
      <c r="AB154" s="204"/>
      <c r="AC154" s="212"/>
      <c r="AD154" s="212"/>
      <c r="AE154" s="224"/>
      <c r="AF154" s="212"/>
      <c r="AG154" s="228"/>
      <c r="AH154" s="96"/>
      <c r="AI154" s="40">
        <f>I154-M154-P154-S154-V154-Y154</f>
        <v>0</v>
      </c>
    </row>
    <row r="155" spans="1:35" ht="24.75" customHeight="1" x14ac:dyDescent="0.3">
      <c r="A155" s="59"/>
      <c r="B155" s="26" t="s">
        <v>22</v>
      </c>
      <c r="C155" s="33"/>
      <c r="D155" s="28"/>
      <c r="E155" s="19"/>
      <c r="F155" s="298"/>
      <c r="G155" s="28"/>
      <c r="H155" s="138"/>
      <c r="I155" s="92"/>
      <c r="J155" s="245"/>
      <c r="K155" s="245"/>
      <c r="L155" s="35"/>
      <c r="M155" s="92"/>
      <c r="N155" s="85"/>
      <c r="O155" s="35"/>
      <c r="P155" s="92"/>
      <c r="Q155" s="85"/>
      <c r="R155" s="35"/>
      <c r="S155" s="92"/>
      <c r="T155" s="37">
        <v>720000</v>
      </c>
      <c r="U155" s="37"/>
      <c r="V155" s="203">
        <f>T155+U155</f>
        <v>720000</v>
      </c>
      <c r="W155" s="189">
        <v>833203</v>
      </c>
      <c r="X155" s="189"/>
      <c r="Y155" s="203">
        <f>W155+X155</f>
        <v>833203</v>
      </c>
      <c r="Z155" s="189"/>
      <c r="AA155" s="189"/>
      <c r="AB155" s="203"/>
      <c r="AC155" s="198"/>
      <c r="AD155" s="198"/>
      <c r="AE155" s="216"/>
      <c r="AF155" s="198"/>
      <c r="AG155" s="227"/>
      <c r="AH155" s="235"/>
    </row>
    <row r="156" spans="1:35" ht="24.75" customHeight="1" x14ac:dyDescent="0.3">
      <c r="A156" s="59"/>
      <c r="B156" s="6" t="s">
        <v>23</v>
      </c>
      <c r="C156" s="46"/>
      <c r="D156" s="14"/>
      <c r="E156" s="167"/>
      <c r="F156" s="243"/>
      <c r="G156" s="14"/>
      <c r="H156" s="140"/>
      <c r="I156" s="91"/>
      <c r="J156" s="243"/>
      <c r="K156" s="243"/>
      <c r="L156" s="48"/>
      <c r="M156" s="91"/>
      <c r="N156" s="84"/>
      <c r="O156" s="48"/>
      <c r="P156" s="91"/>
      <c r="Q156" s="48">
        <v>8443</v>
      </c>
      <c r="R156" s="48"/>
      <c r="S156" s="48">
        <f>S157</f>
        <v>8443</v>
      </c>
      <c r="T156" s="50">
        <f>T157+80000</f>
        <v>110058</v>
      </c>
      <c r="U156" s="50"/>
      <c r="V156" s="50">
        <f>T156+U156</f>
        <v>110058</v>
      </c>
      <c r="W156" s="190">
        <v>92578</v>
      </c>
      <c r="X156" s="190"/>
      <c r="Y156" s="204">
        <f>W156+X156</f>
        <v>92578</v>
      </c>
      <c r="Z156" s="190"/>
      <c r="AA156" s="190"/>
      <c r="AB156" s="204"/>
      <c r="AC156" s="212"/>
      <c r="AD156" s="212"/>
      <c r="AE156" s="224"/>
      <c r="AF156" s="212"/>
      <c r="AG156" s="228"/>
      <c r="AH156" s="96"/>
    </row>
    <row r="157" spans="1:35" ht="24.75" customHeight="1" x14ac:dyDescent="0.3">
      <c r="A157" s="59"/>
      <c r="B157" s="6" t="s">
        <v>35</v>
      </c>
      <c r="C157" s="46"/>
      <c r="D157" s="14"/>
      <c r="E157" s="167"/>
      <c r="F157" s="243"/>
      <c r="G157" s="14"/>
      <c r="H157" s="140"/>
      <c r="I157" s="91"/>
      <c r="J157" s="243"/>
      <c r="K157" s="243"/>
      <c r="L157" s="48"/>
      <c r="M157" s="91"/>
      <c r="N157" s="84"/>
      <c r="O157" s="48"/>
      <c r="P157" s="91"/>
      <c r="Q157" s="48">
        <f>35450-27007</f>
        <v>8443</v>
      </c>
      <c r="R157" s="48"/>
      <c r="S157" s="91">
        <f>Q157+R157</f>
        <v>8443</v>
      </c>
      <c r="T157" s="50">
        <v>30058</v>
      </c>
      <c r="U157" s="50"/>
      <c r="V157" s="204">
        <f>T157+U157</f>
        <v>30058</v>
      </c>
      <c r="W157" s="190"/>
      <c r="X157" s="190"/>
      <c r="Y157" s="204"/>
      <c r="Z157" s="190"/>
      <c r="AA157" s="190"/>
      <c r="AB157" s="204"/>
      <c r="AC157" s="212"/>
      <c r="AD157" s="212"/>
      <c r="AE157" s="224"/>
      <c r="AF157" s="212"/>
      <c r="AG157" s="228"/>
      <c r="AH157" s="96"/>
    </row>
    <row r="158" spans="1:35" ht="24.75" customHeight="1" x14ac:dyDescent="0.3">
      <c r="A158" s="59"/>
      <c r="B158" s="6" t="s">
        <v>44</v>
      </c>
      <c r="C158" s="46"/>
      <c r="D158" s="14"/>
      <c r="E158" s="167"/>
      <c r="F158" s="243"/>
      <c r="G158" s="14"/>
      <c r="H158" s="140"/>
      <c r="I158" s="91"/>
      <c r="J158" s="243"/>
      <c r="K158" s="243"/>
      <c r="L158" s="48"/>
      <c r="M158" s="91"/>
      <c r="N158" s="84"/>
      <c r="O158" s="48"/>
      <c r="P158" s="91"/>
      <c r="Q158" s="84"/>
      <c r="R158" s="48"/>
      <c r="S158" s="91"/>
      <c r="T158" s="50">
        <f>80000+720000</f>
        <v>800000</v>
      </c>
      <c r="U158" s="50"/>
      <c r="V158" s="204">
        <f>T158+U158</f>
        <v>800000</v>
      </c>
      <c r="W158" s="190">
        <v>925781</v>
      </c>
      <c r="X158" s="190"/>
      <c r="Y158" s="204">
        <f>W158+X158</f>
        <v>925781</v>
      </c>
      <c r="Z158" s="190"/>
      <c r="AA158" s="190"/>
      <c r="AB158" s="204"/>
      <c r="AC158" s="212"/>
      <c r="AD158" s="212"/>
      <c r="AE158" s="224"/>
      <c r="AF158" s="212"/>
      <c r="AG158" s="228"/>
      <c r="AH158" s="96"/>
    </row>
    <row r="159" spans="1:35" ht="125.25" customHeight="1" x14ac:dyDescent="0.3">
      <c r="A159" s="60"/>
      <c r="B159" s="373" t="s">
        <v>128</v>
      </c>
      <c r="C159" s="46"/>
      <c r="D159" s="14">
        <v>2023</v>
      </c>
      <c r="E159" s="167"/>
      <c r="F159" s="297">
        <v>174.12</v>
      </c>
      <c r="G159" s="14"/>
      <c r="H159" s="140"/>
      <c r="I159" s="91">
        <v>1081439</v>
      </c>
      <c r="J159" s="243"/>
      <c r="K159" s="243"/>
      <c r="L159" s="48"/>
      <c r="M159" s="91"/>
      <c r="N159" s="84"/>
      <c r="O159" s="48"/>
      <c r="P159" s="91"/>
      <c r="Q159" s="48">
        <f t="shared" ref="Q159:Y159" si="179">Q160+Q161</f>
        <v>6944</v>
      </c>
      <c r="R159" s="48">
        <f t="shared" si="179"/>
        <v>0</v>
      </c>
      <c r="S159" s="91">
        <f t="shared" si="179"/>
        <v>6944</v>
      </c>
      <c r="T159" s="50">
        <f t="shared" si="179"/>
        <v>518562</v>
      </c>
      <c r="U159" s="50">
        <f t="shared" si="179"/>
        <v>0</v>
      </c>
      <c r="V159" s="204">
        <f t="shared" si="179"/>
        <v>518562</v>
      </c>
      <c r="W159" s="190">
        <f t="shared" si="179"/>
        <v>555933</v>
      </c>
      <c r="X159" s="190">
        <f t="shared" si="179"/>
        <v>0</v>
      </c>
      <c r="Y159" s="190">
        <f t="shared" si="179"/>
        <v>555933</v>
      </c>
      <c r="Z159" s="190"/>
      <c r="AA159" s="190"/>
      <c r="AB159" s="204"/>
      <c r="AC159" s="212"/>
      <c r="AD159" s="212"/>
      <c r="AE159" s="224"/>
      <c r="AF159" s="212"/>
      <c r="AG159" s="228"/>
      <c r="AH159" s="96"/>
      <c r="AI159" s="40">
        <f>I159-S159-V159-Y159</f>
        <v>0</v>
      </c>
    </row>
    <row r="160" spans="1:35" ht="24.75" customHeight="1" x14ac:dyDescent="0.3">
      <c r="A160" s="59"/>
      <c r="B160" s="26" t="s">
        <v>22</v>
      </c>
      <c r="C160" s="33"/>
      <c r="D160" s="28"/>
      <c r="E160" s="19"/>
      <c r="F160" s="245"/>
      <c r="G160" s="28"/>
      <c r="H160" s="138"/>
      <c r="I160" s="92"/>
      <c r="J160" s="245"/>
      <c r="K160" s="245"/>
      <c r="L160" s="35"/>
      <c r="M160" s="92"/>
      <c r="N160" s="85"/>
      <c r="O160" s="35"/>
      <c r="P160" s="92"/>
      <c r="Q160" s="35"/>
      <c r="R160" s="35"/>
      <c r="S160" s="92">
        <f>Q160+R160</f>
        <v>0</v>
      </c>
      <c r="T160" s="37">
        <v>450000</v>
      </c>
      <c r="U160" s="37"/>
      <c r="V160" s="203">
        <f>T160+U160</f>
        <v>450000</v>
      </c>
      <c r="W160" s="189">
        <v>500340</v>
      </c>
      <c r="X160" s="189"/>
      <c r="Y160" s="203">
        <f>W160+X160</f>
        <v>500340</v>
      </c>
      <c r="Z160" s="189"/>
      <c r="AA160" s="189"/>
      <c r="AB160" s="203"/>
      <c r="AC160" s="198"/>
      <c r="AD160" s="198"/>
      <c r="AE160" s="216"/>
      <c r="AF160" s="198"/>
      <c r="AG160" s="227"/>
      <c r="AH160" s="235"/>
    </row>
    <row r="161" spans="1:35" ht="24.75" customHeight="1" x14ac:dyDescent="0.3">
      <c r="A161" s="59"/>
      <c r="B161" s="6" t="s">
        <v>23</v>
      </c>
      <c r="C161" s="46"/>
      <c r="D161" s="14"/>
      <c r="E161" s="167"/>
      <c r="F161" s="243"/>
      <c r="G161" s="14"/>
      <c r="H161" s="140"/>
      <c r="I161" s="91"/>
      <c r="J161" s="243"/>
      <c r="K161" s="243"/>
      <c r="L161" s="48"/>
      <c r="M161" s="91"/>
      <c r="N161" s="84"/>
      <c r="O161" s="48"/>
      <c r="P161" s="91"/>
      <c r="Q161" s="84">
        <v>6944</v>
      </c>
      <c r="R161" s="84"/>
      <c r="S161" s="84">
        <f t="shared" ref="S161" si="180">S162</f>
        <v>6944</v>
      </c>
      <c r="T161" s="50">
        <f>T162+50000</f>
        <v>68562</v>
      </c>
      <c r="U161" s="50"/>
      <c r="V161" s="50">
        <f>T161+U161</f>
        <v>68562</v>
      </c>
      <c r="W161" s="190">
        <v>55593</v>
      </c>
      <c r="X161" s="190"/>
      <c r="Y161" s="204">
        <f>W161+X161</f>
        <v>55593</v>
      </c>
      <c r="Z161" s="190"/>
      <c r="AA161" s="190"/>
      <c r="AB161" s="204"/>
      <c r="AC161" s="212"/>
      <c r="AD161" s="212"/>
      <c r="AE161" s="224"/>
      <c r="AF161" s="212"/>
      <c r="AG161" s="228"/>
      <c r="AH161" s="96"/>
    </row>
    <row r="162" spans="1:35" ht="19.5" customHeight="1" x14ac:dyDescent="0.3">
      <c r="A162" s="59"/>
      <c r="B162" s="6" t="s">
        <v>35</v>
      </c>
      <c r="C162" s="46"/>
      <c r="D162" s="14"/>
      <c r="E162" s="167"/>
      <c r="F162" s="243"/>
      <c r="G162" s="14"/>
      <c r="H162" s="140"/>
      <c r="I162" s="91"/>
      <c r="J162" s="243"/>
      <c r="K162" s="243"/>
      <c r="L162" s="48"/>
      <c r="M162" s="91"/>
      <c r="N162" s="84"/>
      <c r="O162" s="48"/>
      <c r="P162" s="91"/>
      <c r="Q162" s="48">
        <f>15426-8482</f>
        <v>6944</v>
      </c>
      <c r="R162" s="48"/>
      <c r="S162" s="91">
        <f>Q162+R162</f>
        <v>6944</v>
      </c>
      <c r="T162" s="50">
        <v>18562</v>
      </c>
      <c r="U162" s="50"/>
      <c r="V162" s="204">
        <f>T162+U162</f>
        <v>18562</v>
      </c>
      <c r="W162" s="190"/>
      <c r="X162" s="190"/>
      <c r="Y162" s="204"/>
      <c r="Z162" s="190"/>
      <c r="AA162" s="190"/>
      <c r="AB162" s="204"/>
      <c r="AC162" s="212"/>
      <c r="AD162" s="212"/>
      <c r="AE162" s="224"/>
      <c r="AF162" s="212"/>
      <c r="AG162" s="228"/>
      <c r="AH162" s="96"/>
    </row>
    <row r="163" spans="1:35" ht="24.75" customHeight="1" x14ac:dyDescent="0.3">
      <c r="A163" s="59"/>
      <c r="B163" s="6" t="s">
        <v>44</v>
      </c>
      <c r="C163" s="46"/>
      <c r="D163" s="14"/>
      <c r="E163" s="167"/>
      <c r="F163" s="243"/>
      <c r="G163" s="14"/>
      <c r="H163" s="140"/>
      <c r="I163" s="91"/>
      <c r="J163" s="243"/>
      <c r="K163" s="243"/>
      <c r="L163" s="48"/>
      <c r="M163" s="91"/>
      <c r="N163" s="84"/>
      <c r="O163" s="48"/>
      <c r="P163" s="91"/>
      <c r="Q163" s="84"/>
      <c r="R163" s="48"/>
      <c r="S163" s="91"/>
      <c r="T163" s="50">
        <f>450000+68562</f>
        <v>518562</v>
      </c>
      <c r="U163" s="50"/>
      <c r="V163" s="204">
        <f>U163+T163</f>
        <v>518562</v>
      </c>
      <c r="W163" s="190">
        <f>500340+55593</f>
        <v>555933</v>
      </c>
      <c r="X163" s="190"/>
      <c r="Y163" s="204">
        <f>W163+X163</f>
        <v>555933</v>
      </c>
      <c r="Z163" s="190"/>
      <c r="AA163" s="190"/>
      <c r="AB163" s="204"/>
      <c r="AC163" s="212"/>
      <c r="AD163" s="212"/>
      <c r="AE163" s="224"/>
      <c r="AF163" s="212"/>
      <c r="AG163" s="228"/>
      <c r="AH163" s="96"/>
    </row>
    <row r="164" spans="1:35" ht="120.75" customHeight="1" x14ac:dyDescent="0.3">
      <c r="A164" s="60"/>
      <c r="B164" s="373" t="s">
        <v>129</v>
      </c>
      <c r="C164" s="46"/>
      <c r="D164" s="14">
        <v>2024</v>
      </c>
      <c r="E164" s="167"/>
      <c r="F164" s="297">
        <v>220.65</v>
      </c>
      <c r="G164" s="14"/>
      <c r="H164" s="140"/>
      <c r="I164" s="91">
        <v>1090052</v>
      </c>
      <c r="J164" s="243"/>
      <c r="K164" s="243"/>
      <c r="L164" s="48"/>
      <c r="M164" s="91"/>
      <c r="N164" s="84"/>
      <c r="O164" s="48"/>
      <c r="P164" s="91"/>
      <c r="Q164" s="48">
        <f t="shared" ref="Q164:AB164" si="181">Q165+Q166</f>
        <v>0</v>
      </c>
      <c r="R164" s="48">
        <f t="shared" si="181"/>
        <v>0</v>
      </c>
      <c r="S164" s="91">
        <f t="shared" si="181"/>
        <v>0</v>
      </c>
      <c r="T164" s="50">
        <f t="shared" si="181"/>
        <v>8496</v>
      </c>
      <c r="U164" s="50">
        <f t="shared" si="181"/>
        <v>0</v>
      </c>
      <c r="V164" s="204">
        <f t="shared" si="181"/>
        <v>8496</v>
      </c>
      <c r="W164" s="190">
        <f t="shared" si="181"/>
        <v>521004</v>
      </c>
      <c r="X164" s="190">
        <f t="shared" si="181"/>
        <v>0</v>
      </c>
      <c r="Y164" s="190">
        <f t="shared" si="181"/>
        <v>521004</v>
      </c>
      <c r="Z164" s="190">
        <f t="shared" si="181"/>
        <v>560552</v>
      </c>
      <c r="AA164" s="190">
        <f t="shared" si="181"/>
        <v>0</v>
      </c>
      <c r="AB164" s="190">
        <f t="shared" si="181"/>
        <v>560552</v>
      </c>
      <c r="AC164" s="212"/>
      <c r="AD164" s="212"/>
      <c r="AE164" s="224"/>
      <c r="AF164" s="212"/>
      <c r="AG164" s="228"/>
      <c r="AH164" s="96"/>
      <c r="AI164" s="40">
        <f>I164-S164-V164-Y164-AB164</f>
        <v>0</v>
      </c>
    </row>
    <row r="165" spans="1:35" ht="24.75" customHeight="1" x14ac:dyDescent="0.3">
      <c r="A165" s="59"/>
      <c r="B165" s="26" t="s">
        <v>22</v>
      </c>
      <c r="C165" s="33"/>
      <c r="D165" s="28"/>
      <c r="E165" s="19"/>
      <c r="F165" s="245"/>
      <c r="G165" s="28"/>
      <c r="H165" s="138"/>
      <c r="I165" s="92"/>
      <c r="J165" s="245"/>
      <c r="K165" s="245"/>
      <c r="L165" s="35"/>
      <c r="M165" s="92"/>
      <c r="N165" s="85"/>
      <c r="O165" s="35"/>
      <c r="P165" s="92"/>
      <c r="Q165" s="85"/>
      <c r="R165" s="35">
        <f>R167+R168</f>
        <v>0</v>
      </c>
      <c r="S165" s="92">
        <f>S167+S168</f>
        <v>0</v>
      </c>
      <c r="T165" s="189"/>
      <c r="U165" s="37"/>
      <c r="V165" s="203"/>
      <c r="W165" s="189">
        <v>450000</v>
      </c>
      <c r="X165" s="189"/>
      <c r="Y165" s="203">
        <f>W165+X165</f>
        <v>450000</v>
      </c>
      <c r="Z165" s="189">
        <v>504497</v>
      </c>
      <c r="AA165" s="189"/>
      <c r="AB165" s="203">
        <f>Z165+AA165</f>
        <v>504497</v>
      </c>
      <c r="AC165" s="198"/>
      <c r="AD165" s="198"/>
      <c r="AE165" s="216"/>
      <c r="AF165" s="198"/>
      <c r="AG165" s="227"/>
      <c r="AH165" s="235"/>
    </row>
    <row r="166" spans="1:35" ht="24.75" customHeight="1" x14ac:dyDescent="0.3">
      <c r="A166" s="59"/>
      <c r="B166" s="6" t="s">
        <v>23</v>
      </c>
      <c r="C166" s="46"/>
      <c r="D166" s="14"/>
      <c r="E166" s="167"/>
      <c r="F166" s="243"/>
      <c r="G166" s="14"/>
      <c r="H166" s="140"/>
      <c r="I166" s="91"/>
      <c r="J166" s="243"/>
      <c r="K166" s="243"/>
      <c r="L166" s="48"/>
      <c r="M166" s="91"/>
      <c r="N166" s="84"/>
      <c r="O166" s="48"/>
      <c r="P166" s="91"/>
      <c r="Q166" s="84"/>
      <c r="R166" s="48"/>
      <c r="S166" s="91"/>
      <c r="T166" s="50">
        <f>T167</f>
        <v>8496</v>
      </c>
      <c r="U166" s="50">
        <f>U167</f>
        <v>0</v>
      </c>
      <c r="V166" s="204">
        <f>T166+U166</f>
        <v>8496</v>
      </c>
      <c r="W166" s="190">
        <f>W167+50000</f>
        <v>71004</v>
      </c>
      <c r="X166" s="190"/>
      <c r="Y166" s="204">
        <f>W166+X166</f>
        <v>71004</v>
      </c>
      <c r="Z166" s="190">
        <v>56055</v>
      </c>
      <c r="AA166" s="190"/>
      <c r="AB166" s="204">
        <f>Z166+AA166</f>
        <v>56055</v>
      </c>
      <c r="AC166" s="212"/>
      <c r="AD166" s="212"/>
      <c r="AE166" s="224"/>
      <c r="AF166" s="212"/>
      <c r="AG166" s="228"/>
      <c r="AH166" s="96"/>
    </row>
    <row r="167" spans="1:35" ht="24.75" customHeight="1" x14ac:dyDescent="0.3">
      <c r="A167" s="59"/>
      <c r="B167" s="6" t="s">
        <v>35</v>
      </c>
      <c r="C167" s="46"/>
      <c r="D167" s="14"/>
      <c r="E167" s="167"/>
      <c r="F167" s="243"/>
      <c r="G167" s="14"/>
      <c r="H167" s="140"/>
      <c r="I167" s="91"/>
      <c r="J167" s="243"/>
      <c r="K167" s="243"/>
      <c r="L167" s="48"/>
      <c r="M167" s="91"/>
      <c r="N167" s="84"/>
      <c r="O167" s="48"/>
      <c r="P167" s="91"/>
      <c r="Q167" s="48">
        <f>21945-21945</f>
        <v>0</v>
      </c>
      <c r="R167" s="48"/>
      <c r="S167" s="91">
        <f>Q167+R167</f>
        <v>0</v>
      </c>
      <c r="T167" s="50">
        <v>8496</v>
      </c>
      <c r="U167" s="50"/>
      <c r="V167" s="204">
        <f>T167+U167</f>
        <v>8496</v>
      </c>
      <c r="W167" s="190">
        <v>21004</v>
      </c>
      <c r="X167" s="190"/>
      <c r="Y167" s="204">
        <f>W167+X167</f>
        <v>21004</v>
      </c>
      <c r="Z167" s="190"/>
      <c r="AA167" s="190"/>
      <c r="AB167" s="204"/>
      <c r="AC167" s="212"/>
      <c r="AD167" s="212"/>
      <c r="AE167" s="224"/>
      <c r="AF167" s="212"/>
      <c r="AG167" s="228"/>
      <c r="AH167" s="96"/>
    </row>
    <row r="168" spans="1:35" ht="24.75" customHeight="1" x14ac:dyDescent="0.3">
      <c r="A168" s="59"/>
      <c r="B168" s="6" t="s">
        <v>44</v>
      </c>
      <c r="C168" s="46"/>
      <c r="D168" s="14"/>
      <c r="E168" s="167"/>
      <c r="F168" s="243"/>
      <c r="G168" s="14"/>
      <c r="H168" s="140"/>
      <c r="I168" s="91"/>
      <c r="J168" s="243"/>
      <c r="K168" s="243"/>
      <c r="L168" s="48"/>
      <c r="M168" s="91"/>
      <c r="N168" s="84"/>
      <c r="O168" s="48"/>
      <c r="P168" s="91"/>
      <c r="Q168" s="84"/>
      <c r="R168" s="48"/>
      <c r="S168" s="91"/>
      <c r="T168" s="190"/>
      <c r="U168" s="50"/>
      <c r="V168" s="204">
        <f>T168+U168</f>
        <v>0</v>
      </c>
      <c r="W168" s="190">
        <v>500000</v>
      </c>
      <c r="X168" s="190"/>
      <c r="Y168" s="204">
        <f>W168+X168</f>
        <v>500000</v>
      </c>
      <c r="Z168" s="190">
        <v>560552</v>
      </c>
      <c r="AA168" s="190"/>
      <c r="AB168" s="204">
        <f>Z168+AA168</f>
        <v>560552</v>
      </c>
      <c r="AC168" s="212"/>
      <c r="AD168" s="212"/>
      <c r="AE168" s="224"/>
      <c r="AF168" s="212"/>
      <c r="AG168" s="228"/>
      <c r="AH168" s="96"/>
    </row>
    <row r="169" spans="1:35" ht="110.25" customHeight="1" x14ac:dyDescent="0.3">
      <c r="A169" s="60"/>
      <c r="B169" s="373" t="s">
        <v>130</v>
      </c>
      <c r="C169" s="46"/>
      <c r="D169" s="14">
        <v>2024</v>
      </c>
      <c r="E169" s="167"/>
      <c r="F169" s="297">
        <v>148.19999999999999</v>
      </c>
      <c r="G169" s="14"/>
      <c r="H169" s="140"/>
      <c r="I169" s="91">
        <v>770905</v>
      </c>
      <c r="J169" s="243"/>
      <c r="K169" s="243"/>
      <c r="L169" s="48"/>
      <c r="M169" s="91"/>
      <c r="N169" s="84"/>
      <c r="O169" s="48"/>
      <c r="P169" s="91"/>
      <c r="Q169" s="84">
        <f t="shared" ref="Q169:AB169" si="182">Q170+Q171</f>
        <v>0</v>
      </c>
      <c r="R169" s="48">
        <f t="shared" si="182"/>
        <v>0</v>
      </c>
      <c r="S169" s="91">
        <f t="shared" si="182"/>
        <v>0</v>
      </c>
      <c r="T169" s="50">
        <f t="shared" si="182"/>
        <v>7699</v>
      </c>
      <c r="U169" s="50">
        <f t="shared" si="182"/>
        <v>0</v>
      </c>
      <c r="V169" s="204">
        <f t="shared" si="182"/>
        <v>7699</v>
      </c>
      <c r="W169" s="190">
        <f t="shared" si="182"/>
        <v>318079</v>
      </c>
      <c r="X169" s="190">
        <f t="shared" si="182"/>
        <v>0</v>
      </c>
      <c r="Y169" s="190">
        <f t="shared" si="182"/>
        <v>318079</v>
      </c>
      <c r="Z169" s="190">
        <f t="shared" si="182"/>
        <v>445127</v>
      </c>
      <c r="AA169" s="190">
        <f t="shared" si="182"/>
        <v>0</v>
      </c>
      <c r="AB169" s="190">
        <f t="shared" si="182"/>
        <v>445127</v>
      </c>
      <c r="AC169" s="212"/>
      <c r="AD169" s="212"/>
      <c r="AE169" s="224"/>
      <c r="AF169" s="212"/>
      <c r="AG169" s="228"/>
      <c r="AH169" s="96"/>
      <c r="AI169" s="40">
        <f>I169-S169-V169-Y169-AB169</f>
        <v>0</v>
      </c>
    </row>
    <row r="170" spans="1:35" ht="24.75" customHeight="1" x14ac:dyDescent="0.3">
      <c r="A170" s="59"/>
      <c r="B170" s="26" t="s">
        <v>22</v>
      </c>
      <c r="C170" s="33"/>
      <c r="D170" s="28"/>
      <c r="E170" s="19"/>
      <c r="F170" s="245"/>
      <c r="G170" s="28"/>
      <c r="H170" s="138"/>
      <c r="I170" s="92"/>
      <c r="J170" s="245"/>
      <c r="K170" s="245"/>
      <c r="L170" s="35"/>
      <c r="M170" s="92"/>
      <c r="N170" s="85"/>
      <c r="O170" s="35"/>
      <c r="P170" s="92"/>
      <c r="Q170" s="85">
        <f>Q172</f>
        <v>0</v>
      </c>
      <c r="R170" s="85">
        <f t="shared" ref="R170:S170" si="183">R172</f>
        <v>0</v>
      </c>
      <c r="S170" s="85">
        <f t="shared" si="183"/>
        <v>0</v>
      </c>
      <c r="T170" s="189"/>
      <c r="U170" s="37"/>
      <c r="V170" s="203"/>
      <c r="W170" s="189">
        <v>270000</v>
      </c>
      <c r="X170" s="189"/>
      <c r="Y170" s="203">
        <f>W170+X170</f>
        <v>270000</v>
      </c>
      <c r="Z170" s="189">
        <v>400614</v>
      </c>
      <c r="AA170" s="189"/>
      <c r="AB170" s="203">
        <f>Z170+AA170</f>
        <v>400614</v>
      </c>
      <c r="AC170" s="198"/>
      <c r="AD170" s="198"/>
      <c r="AE170" s="216"/>
      <c r="AF170" s="198"/>
      <c r="AG170" s="227"/>
      <c r="AH170" s="235"/>
    </row>
    <row r="171" spans="1:35" ht="24.75" customHeight="1" x14ac:dyDescent="0.3">
      <c r="A171" s="59"/>
      <c r="B171" s="6" t="s">
        <v>23</v>
      </c>
      <c r="C171" s="46"/>
      <c r="D171" s="14"/>
      <c r="E171" s="167"/>
      <c r="F171" s="243"/>
      <c r="G171" s="14"/>
      <c r="H171" s="140"/>
      <c r="I171" s="91"/>
      <c r="J171" s="243"/>
      <c r="K171" s="243"/>
      <c r="L171" s="48"/>
      <c r="M171" s="91"/>
      <c r="N171" s="84"/>
      <c r="O171" s="48"/>
      <c r="P171" s="91"/>
      <c r="Q171" s="84"/>
      <c r="R171" s="84"/>
      <c r="S171" s="84">
        <f t="shared" ref="S171" si="184">S172</f>
        <v>0</v>
      </c>
      <c r="T171" s="50">
        <f>T172</f>
        <v>7699</v>
      </c>
      <c r="U171" s="50">
        <f>U172</f>
        <v>0</v>
      </c>
      <c r="V171" s="204">
        <f>T171+U171</f>
        <v>7699</v>
      </c>
      <c r="W171" s="190">
        <f>W172+30000</f>
        <v>48079</v>
      </c>
      <c r="X171" s="190"/>
      <c r="Y171" s="204">
        <f>W171+X171</f>
        <v>48079</v>
      </c>
      <c r="Z171" s="190">
        <v>44513</v>
      </c>
      <c r="AA171" s="190"/>
      <c r="AB171" s="204">
        <f>Z171+AA171</f>
        <v>44513</v>
      </c>
      <c r="AC171" s="212"/>
      <c r="AD171" s="212"/>
      <c r="AE171" s="224"/>
      <c r="AF171" s="212"/>
      <c r="AG171" s="228"/>
      <c r="AH171" s="96"/>
    </row>
    <row r="172" spans="1:35" ht="20.25" customHeight="1" x14ac:dyDescent="0.3">
      <c r="A172" s="59"/>
      <c r="B172" s="6" t="s">
        <v>35</v>
      </c>
      <c r="C172" s="46"/>
      <c r="D172" s="14"/>
      <c r="E172" s="167"/>
      <c r="F172" s="243"/>
      <c r="G172" s="14"/>
      <c r="H172" s="140"/>
      <c r="I172" s="91"/>
      <c r="J172" s="243"/>
      <c r="K172" s="243"/>
      <c r="L172" s="48"/>
      <c r="M172" s="91"/>
      <c r="N172" s="84"/>
      <c r="O172" s="48"/>
      <c r="P172" s="91"/>
      <c r="Q172" s="48">
        <f>14500-14500</f>
        <v>0</v>
      </c>
      <c r="R172" s="48"/>
      <c r="S172" s="91">
        <f>Q172+R172</f>
        <v>0</v>
      </c>
      <c r="T172" s="50">
        <v>7699</v>
      </c>
      <c r="U172" s="50"/>
      <c r="V172" s="204">
        <f>T172+U172</f>
        <v>7699</v>
      </c>
      <c r="W172" s="190">
        <v>18079</v>
      </c>
      <c r="X172" s="190"/>
      <c r="Y172" s="204">
        <f>W172+X172</f>
        <v>18079</v>
      </c>
      <c r="Z172" s="190"/>
      <c r="AA172" s="190"/>
      <c r="AB172" s="204"/>
      <c r="AC172" s="212"/>
      <c r="AD172" s="212"/>
      <c r="AE172" s="224"/>
      <c r="AF172" s="212"/>
      <c r="AG172" s="228"/>
      <c r="AH172" s="96"/>
    </row>
    <row r="173" spans="1:35" ht="24.75" customHeight="1" x14ac:dyDescent="0.3">
      <c r="A173" s="59"/>
      <c r="B173" s="6" t="s">
        <v>44</v>
      </c>
      <c r="C173" s="46"/>
      <c r="D173" s="14"/>
      <c r="E173" s="167"/>
      <c r="F173" s="243"/>
      <c r="G173" s="14"/>
      <c r="H173" s="140"/>
      <c r="I173" s="91"/>
      <c r="J173" s="243"/>
      <c r="K173" s="243"/>
      <c r="L173" s="48"/>
      <c r="M173" s="91"/>
      <c r="N173" s="84"/>
      <c r="O173" s="48"/>
      <c r="P173" s="91"/>
      <c r="Q173" s="84"/>
      <c r="R173" s="48"/>
      <c r="S173" s="91"/>
      <c r="T173" s="190"/>
      <c r="U173" s="50"/>
      <c r="V173" s="204">
        <f>T173+U173</f>
        <v>0</v>
      </c>
      <c r="W173" s="190">
        <f>270000+30000</f>
        <v>300000</v>
      </c>
      <c r="X173" s="190"/>
      <c r="Y173" s="204">
        <f>W173+X173</f>
        <v>300000</v>
      </c>
      <c r="Z173" s="190">
        <v>445127</v>
      </c>
      <c r="AB173" s="204">
        <f>Z173+AA173</f>
        <v>445127</v>
      </c>
      <c r="AC173" s="212"/>
      <c r="AD173" s="212"/>
      <c r="AE173" s="224"/>
      <c r="AF173" s="212"/>
      <c r="AG173" s="228"/>
      <c r="AH173" s="96"/>
    </row>
    <row r="174" spans="1:35" ht="28.5" hidden="1" customHeight="1" x14ac:dyDescent="0.3">
      <c r="A174" s="59"/>
      <c r="B174" s="42" t="s">
        <v>83</v>
      </c>
      <c r="C174" s="78"/>
      <c r="D174" s="79"/>
      <c r="E174" s="79"/>
      <c r="F174" s="81"/>
      <c r="G174" s="79"/>
      <c r="H174" s="144"/>
      <c r="I174" s="94"/>
      <c r="J174" s="86"/>
      <c r="K174" s="82"/>
      <c r="L174" s="80"/>
      <c r="M174" s="94">
        <v>0</v>
      </c>
      <c r="N174" s="86"/>
      <c r="O174" s="80"/>
      <c r="P174" s="94">
        <f t="shared" si="152"/>
        <v>0</v>
      </c>
      <c r="Q174" s="309">
        <f>28641.6+450000</f>
        <v>478641.6</v>
      </c>
      <c r="R174" s="160">
        <v>-478641.6</v>
      </c>
      <c r="S174" s="94">
        <f t="shared" si="153"/>
        <v>0</v>
      </c>
      <c r="T174" s="195"/>
      <c r="U174" s="119"/>
      <c r="V174" s="210"/>
      <c r="W174" s="194"/>
      <c r="X174" s="117"/>
      <c r="Y174" s="209">
        <f t="shared" ref="Y174" si="185">W174+X174</f>
        <v>0</v>
      </c>
      <c r="Z174" s="190">
        <v>445127</v>
      </c>
      <c r="AB174" s="209" t="e">
        <f>#REF!+Z174</f>
        <v>#REF!</v>
      </c>
      <c r="AC174" s="214"/>
      <c r="AD174" s="118"/>
      <c r="AE174" s="210">
        <f t="shared" ref="AE174" si="186">AC174+AD174</f>
        <v>0</v>
      </c>
      <c r="AF174" s="214"/>
      <c r="AG174" s="270"/>
      <c r="AH174" s="271">
        <f t="shared" ref="AH174" si="187">AF174+AG174</f>
        <v>0</v>
      </c>
    </row>
    <row r="175" spans="1:35" ht="49.5" customHeight="1" x14ac:dyDescent="0.3">
      <c r="A175" s="59"/>
      <c r="B175" s="22" t="s">
        <v>37</v>
      </c>
      <c r="C175" s="2"/>
      <c r="D175" s="2"/>
      <c r="E175" s="2"/>
      <c r="F175" s="2"/>
      <c r="G175" s="2"/>
      <c r="H175" s="145"/>
      <c r="I175" s="96"/>
      <c r="J175" s="87"/>
      <c r="K175" s="2"/>
      <c r="L175" s="2"/>
      <c r="M175" s="184">
        <v>0</v>
      </c>
      <c r="N175" s="112">
        <v>9430</v>
      </c>
      <c r="O175" s="112"/>
      <c r="P175" s="184">
        <f>N175+O175</f>
        <v>9430</v>
      </c>
      <c r="Q175" s="178">
        <f>31410.3-29-20000-9430-1951.3</f>
        <v>0</v>
      </c>
      <c r="R175" s="112"/>
      <c r="S175" s="184">
        <f>Q175+R175</f>
        <v>0</v>
      </c>
      <c r="T175" s="375">
        <f>30040-2522.3</f>
        <v>27517.7</v>
      </c>
      <c r="U175" s="374">
        <f>-17017.6-7700.7</f>
        <v>-24718.3</v>
      </c>
      <c r="V175" s="376">
        <f>T175+U175</f>
        <v>2799.4000000000015</v>
      </c>
      <c r="W175" s="178">
        <v>30000</v>
      </c>
      <c r="X175" s="112"/>
      <c r="Y175" s="184">
        <f>W175+X175</f>
        <v>30000</v>
      </c>
      <c r="Z175" s="178">
        <v>30000</v>
      </c>
      <c r="AA175" s="112"/>
      <c r="AB175" s="184">
        <f>Z175+AA175</f>
        <v>30000</v>
      </c>
      <c r="AC175" s="178">
        <v>30000</v>
      </c>
      <c r="AD175" s="112"/>
      <c r="AE175" s="184">
        <f>AC175+AD175</f>
        <v>30000</v>
      </c>
      <c r="AF175" s="178">
        <v>30000</v>
      </c>
      <c r="AG175" s="2"/>
      <c r="AH175" s="184">
        <f>AF175+AG175</f>
        <v>30000</v>
      </c>
    </row>
    <row r="176" spans="1:35" x14ac:dyDescent="0.3">
      <c r="B176" s="21"/>
    </row>
    <row r="177" spans="1:17" ht="18" x14ac:dyDescent="0.35">
      <c r="A177" s="397"/>
      <c r="B177" s="397"/>
      <c r="C177" s="397"/>
      <c r="D177" s="397"/>
      <c r="E177" s="397"/>
      <c r="F177" s="397"/>
      <c r="G177" s="397"/>
      <c r="H177" s="397"/>
      <c r="I177" s="397"/>
      <c r="J177" s="397"/>
      <c r="K177" s="397"/>
      <c r="L177" s="397"/>
      <c r="M177" s="397"/>
      <c r="N177" s="397"/>
      <c r="O177" s="397"/>
      <c r="P177" s="397"/>
      <c r="Q177" s="337"/>
    </row>
  </sheetData>
  <mergeCells count="14">
    <mergeCell ref="J6:L6"/>
    <mergeCell ref="M6:AH6"/>
    <mergeCell ref="J14:J16"/>
    <mergeCell ref="A177:P177"/>
    <mergeCell ref="A3:T3"/>
    <mergeCell ref="A4:T4"/>
    <mergeCell ref="A6:A7"/>
    <mergeCell ref="B6:B7"/>
    <mergeCell ref="C6:C7"/>
    <mergeCell ref="D6:D7"/>
    <mergeCell ref="E6:F6"/>
    <mergeCell ref="G6:G7"/>
    <mergeCell ref="H6:H7"/>
    <mergeCell ref="I6:I7"/>
  </mergeCells>
  <pageMargins left="0.21" right="0.19685039370078741" top="0.19685039370078741" bottom="0.19685039370078741" header="0.11811023622047245" footer="0.11811023622047245"/>
  <pageSetup paperSize="8" scale="57" fitToHeight="10" orientation="landscape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2015-2022 06.05.20</vt:lpstr>
      <vt:lpstr>2015-2022 02.06.20 </vt:lpstr>
      <vt:lpstr>2015-2022 05.08.20</vt:lpstr>
      <vt:lpstr>2015-2022 15.10.20</vt:lpstr>
      <vt:lpstr>2015-2026 25.02.21 </vt:lpstr>
      <vt:lpstr>'2015-2022 02.06.20 '!Заголовки_для_печати</vt:lpstr>
      <vt:lpstr>'2015-2022 05.08.20'!Заголовки_для_печати</vt:lpstr>
      <vt:lpstr>'2015-2022 06.05.20'!Заголовки_для_печати</vt:lpstr>
      <vt:lpstr>'2015-2022 15.10.20'!Заголовки_для_печати</vt:lpstr>
      <vt:lpstr>'2015-2026 25.02.21 '!Заголовки_для_печати</vt:lpstr>
      <vt:lpstr>'2015-2022 02.06.20 '!Область_печати</vt:lpstr>
      <vt:lpstr>'2015-2022 05.08.20'!Область_печати</vt:lpstr>
      <vt:lpstr>'2015-2022 06.05.20'!Область_печати</vt:lpstr>
      <vt:lpstr>'2015-2022 15.10.20'!Область_печати</vt:lpstr>
      <vt:lpstr>'2015-2026 25.02.21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SychevaVS</dc:creator>
  <cp:lastModifiedBy>Пользователь</cp:lastModifiedBy>
  <cp:lastPrinted>2021-03-17T13:14:52Z</cp:lastPrinted>
  <dcterms:created xsi:type="dcterms:W3CDTF">2015-04-22T11:51:22Z</dcterms:created>
  <dcterms:modified xsi:type="dcterms:W3CDTF">2021-03-22T07:37:43Z</dcterms:modified>
</cp:coreProperties>
</file>